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2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activeX/activeX1.xml" ContentType="application/vnd.ms-office.activeX+xml"/>
  <Override PartName="/xl/activeX/activeX1.bin" ContentType="application/vnd.ms-office.activeX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90700\000\Voltage Drop Programs\Published\"/>
    </mc:Choice>
  </mc:AlternateContent>
  <xr:revisionPtr revIDLastSave="0" documentId="8_{5E298CBF-B2D4-463F-813C-0E22E7EDE969}" xr6:coauthVersionLast="44" xr6:coauthVersionMax="44" xr10:uidLastSave="{00000000-0000-0000-0000-000000000000}"/>
  <workbookProtection workbookAlgorithmName="SHA-512" workbookHashValue="hpFdkfrabHYKUbQu+F3F5KBY89aWnxCTKeQRzc42Dg6Qc9HQHltGBUwXxrjt+V9CKgsIkSWLi5o3vy3tLarDeg==" workbookSaltValue="/xxule0aPxK+95Osssf0oA==" workbookSpinCount="100000" lockStructure="1"/>
  <bookViews>
    <workbookView xWindow="-120" yWindow="-120" windowWidth="20730" windowHeight="11160" xr2:uid="{00000000-000D-0000-FFFF-FFFF00000000}"/>
  </bookViews>
  <sheets>
    <sheet name="Step 1 - Load Sizing" sheetId="1" r:id="rId1"/>
    <sheet name="Step 2 - Transformer Sizing" sheetId="7" r:id="rId2"/>
    <sheet name="Step 3 - Calculator" sheetId="3" r:id="rId3"/>
    <sheet name="Transf Sizing Data" sheetId="2" state="hidden" r:id="rId4"/>
    <sheet name="Voltage Flicker Data" sheetId="6" state="hidden" r:id="rId5"/>
    <sheet name="Voltage Drop Table" sheetId="4" state="hidden" r:id="rId6"/>
    <sheet name="Transformer Sizing Matrix" sheetId="5" state="hidden" r:id="rId7"/>
  </sheets>
  <definedNames>
    <definedName name="_xlnm.Print_Area" localSheetId="0">'Step 1 - Load Sizing'!$A$1:$P$17</definedName>
    <definedName name="_xlnm.Print_Area" localSheetId="1">'Step 2 - Transformer Sizing'!$A$1:$L$20</definedName>
    <definedName name="_xlnm.Print_Area" localSheetId="2">'Step 3 - Calculator'!$A$1:$P$71</definedName>
    <definedName name="_xlnm.Print_Area" localSheetId="3">'Transf Sizing Data'!$A$5:$M$41</definedName>
    <definedName name="_xlnm.Print_Area" localSheetId="4">'Voltage Flicker Data'!$A$1:$U$15</definedName>
    <definedName name="_xlnm.Print_Titles" localSheetId="2">'Step 3 - Calculator'!$1:$4</definedName>
    <definedName name="_xlnm.Print_Titles" localSheetId="3">'Transf Sizing Data'!$1:$4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9" i="1" l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X8" i="1"/>
  <c r="W8" i="1"/>
  <c r="Y31" i="3" l="1"/>
  <c r="G36" i="3" l="1"/>
  <c r="G37" i="3" l="1"/>
  <c r="F37" i="3" s="1"/>
  <c r="N37" i="3" s="1"/>
  <c r="N36" i="3"/>
  <c r="C10" i="4" l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S57" i="1"/>
  <c r="T57" i="1"/>
  <c r="S58" i="1"/>
  <c r="T58" i="1"/>
  <c r="S59" i="1"/>
  <c r="T59" i="1"/>
  <c r="S60" i="1"/>
  <c r="T60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T31" i="1"/>
  <c r="S31" i="1"/>
  <c r="K7" i="6"/>
  <c r="D7" i="6"/>
  <c r="AA8" i="7" l="1"/>
  <c r="Y28" i="3" l="1"/>
  <c r="O9" i="7"/>
  <c r="Y29" i="3" l="1"/>
  <c r="H35" i="3" s="1"/>
  <c r="Y11" i="3"/>
  <c r="X11" i="3"/>
  <c r="F28" i="3" s="1"/>
  <c r="C12" i="1" l="1"/>
  <c r="E12" i="1" s="1"/>
  <c r="AE14" i="3"/>
  <c r="P12" i="1" l="1"/>
  <c r="N12" i="1"/>
  <c r="B10" i="7"/>
  <c r="J10" i="4"/>
  <c r="AI29" i="3"/>
  <c r="F23" i="3" s="1"/>
  <c r="D6" i="7"/>
  <c r="I8" i="7" l="1"/>
  <c r="P18" i="7" s="1"/>
  <c r="O22" i="7" s="1"/>
  <c r="R22" i="7" s="1"/>
  <c r="I18" i="7"/>
  <c r="H7" i="7"/>
  <c r="H6" i="7"/>
  <c r="P17" i="7" s="1"/>
  <c r="L8" i="6" s="1"/>
  <c r="J7" i="7"/>
  <c r="L7" i="6" l="1"/>
  <c r="L11" i="6"/>
  <c r="L12" i="6"/>
  <c r="L13" i="6"/>
  <c r="L9" i="6"/>
  <c r="L10" i="6"/>
  <c r="H16" i="7"/>
  <c r="L14" i="6"/>
  <c r="O23" i="7"/>
  <c r="R23" i="7" s="1"/>
  <c r="J17" i="7" s="1"/>
  <c r="H17" i="7"/>
  <c r="J6" i="7"/>
  <c r="P10" i="7"/>
  <c r="Q10" i="7"/>
  <c r="R10" i="7"/>
  <c r="S10" i="7"/>
  <c r="T10" i="7"/>
  <c r="U10" i="7"/>
  <c r="V10" i="7"/>
  <c r="O10" i="7"/>
  <c r="P9" i="7"/>
  <c r="P12" i="7" s="1"/>
  <c r="Q9" i="7"/>
  <c r="Q12" i="7" s="1"/>
  <c r="R9" i="7"/>
  <c r="R12" i="7" s="1"/>
  <c r="S9" i="7"/>
  <c r="S12" i="7" s="1"/>
  <c r="T9" i="7"/>
  <c r="T12" i="7" s="1"/>
  <c r="U9" i="7"/>
  <c r="U12" i="7" s="1"/>
  <c r="V9" i="7"/>
  <c r="V12" i="7" s="1"/>
  <c r="O12" i="7"/>
  <c r="P8" i="7"/>
  <c r="P11" i="7" s="1"/>
  <c r="Q8" i="7"/>
  <c r="Q11" i="7" s="1"/>
  <c r="F8" i="6" s="1"/>
  <c r="R8" i="7"/>
  <c r="R11" i="7" s="1"/>
  <c r="G7" i="6" s="1"/>
  <c r="S8" i="7"/>
  <c r="S11" i="7" s="1"/>
  <c r="H7" i="6" s="1"/>
  <c r="T8" i="7"/>
  <c r="T11" i="7" s="1"/>
  <c r="U8" i="7"/>
  <c r="U11" i="7" s="1"/>
  <c r="J8" i="6" s="1"/>
  <c r="V8" i="7"/>
  <c r="V11" i="7" s="1"/>
  <c r="O8" i="7"/>
  <c r="O11" i="7" s="1"/>
  <c r="B18" i="7" l="1"/>
  <c r="J16" i="7"/>
  <c r="I7" i="6"/>
  <c r="I10" i="6"/>
  <c r="I14" i="6"/>
  <c r="I8" i="6"/>
  <c r="I12" i="6"/>
  <c r="E9" i="6"/>
  <c r="E12" i="6"/>
  <c r="E10" i="6"/>
  <c r="E14" i="6"/>
  <c r="E8" i="6"/>
  <c r="I13" i="6"/>
  <c r="I11" i="6"/>
  <c r="I9" i="6"/>
  <c r="E7" i="6"/>
  <c r="E13" i="6"/>
  <c r="E11" i="6"/>
  <c r="F7" i="6"/>
  <c r="H14" i="6"/>
  <c r="D14" i="6"/>
  <c r="H13" i="6"/>
  <c r="D13" i="6"/>
  <c r="H12" i="6"/>
  <c r="D12" i="6"/>
  <c r="H11" i="6"/>
  <c r="D11" i="6"/>
  <c r="H10" i="6"/>
  <c r="D10" i="6"/>
  <c r="H9" i="6"/>
  <c r="D9" i="6"/>
  <c r="H8" i="6"/>
  <c r="D8" i="6"/>
  <c r="J7" i="6"/>
  <c r="K14" i="6"/>
  <c r="G14" i="6"/>
  <c r="K13" i="6"/>
  <c r="G13" i="6"/>
  <c r="K12" i="6"/>
  <c r="G12" i="6"/>
  <c r="K11" i="6"/>
  <c r="G11" i="6"/>
  <c r="K10" i="6"/>
  <c r="G10" i="6"/>
  <c r="K9" i="6"/>
  <c r="G9" i="6"/>
  <c r="K8" i="6"/>
  <c r="G8" i="6"/>
  <c r="J14" i="6"/>
  <c r="F14" i="6"/>
  <c r="J13" i="6"/>
  <c r="F13" i="6"/>
  <c r="J12" i="6"/>
  <c r="F12" i="6"/>
  <c r="J11" i="6"/>
  <c r="F11" i="6"/>
  <c r="J10" i="6"/>
  <c r="F10" i="6"/>
  <c r="J9" i="6"/>
  <c r="F9" i="6"/>
  <c r="S19" i="1"/>
  <c r="L8" i="1" s="1"/>
  <c r="G47" i="3"/>
  <c r="AZ54" i="3" s="1"/>
  <c r="F46" i="3"/>
  <c r="AZ45" i="3"/>
  <c r="AI30" i="3"/>
  <c r="C8" i="1"/>
  <c r="E41" i="2"/>
  <c r="E42" i="2"/>
  <c r="E43" i="2"/>
  <c r="P8" i="1" l="1"/>
  <c r="N8" i="1"/>
  <c r="J12" i="3"/>
  <c r="V8" i="1"/>
  <c r="F29" i="3"/>
  <c r="N29" i="3" s="1"/>
  <c r="BA45" i="3"/>
  <c r="N47" i="3"/>
  <c r="G29" i="3"/>
  <c r="H8" i="1"/>
  <c r="G48" i="3" l="1"/>
  <c r="AZ16" i="3" s="1"/>
  <c r="G46" i="3"/>
  <c r="O28" i="3" s="1"/>
  <c r="AZ21" i="3"/>
  <c r="K11" i="4" l="1"/>
  <c r="K15" i="4"/>
  <c r="K19" i="4"/>
  <c r="K23" i="4"/>
  <c r="K27" i="4"/>
  <c r="K31" i="4"/>
  <c r="K35" i="4"/>
  <c r="K39" i="4"/>
  <c r="K43" i="4"/>
  <c r="K47" i="4"/>
  <c r="K51" i="4"/>
  <c r="K55" i="4"/>
  <c r="K59" i="4"/>
  <c r="K63" i="4"/>
  <c r="K67" i="4"/>
  <c r="K71" i="4"/>
  <c r="K75" i="4"/>
  <c r="K79" i="4"/>
  <c r="K83" i="4"/>
  <c r="K87" i="4"/>
  <c r="K91" i="4"/>
  <c r="K95" i="4"/>
  <c r="K99" i="4"/>
  <c r="K103" i="4"/>
  <c r="K107" i="4"/>
  <c r="K111" i="4"/>
  <c r="K115" i="4"/>
  <c r="K119" i="4"/>
  <c r="K123" i="4"/>
  <c r="K127" i="4"/>
  <c r="K131" i="4"/>
  <c r="K135" i="4"/>
  <c r="K139" i="4"/>
  <c r="K143" i="4"/>
  <c r="K147" i="4"/>
  <c r="K151" i="4"/>
  <c r="K155" i="4"/>
  <c r="K159" i="4"/>
  <c r="K163" i="4"/>
  <c r="K167" i="4"/>
  <c r="K171" i="4"/>
  <c r="K175" i="4"/>
  <c r="K179" i="4"/>
  <c r="K183" i="4"/>
  <c r="K187" i="4"/>
  <c r="K191" i="4"/>
  <c r="K195" i="4"/>
  <c r="K199" i="4"/>
  <c r="K203" i="4"/>
  <c r="K207" i="4"/>
  <c r="K211" i="4"/>
  <c r="K215" i="4"/>
  <c r="K219" i="4"/>
  <c r="K223" i="4"/>
  <c r="K227" i="4"/>
  <c r="K231" i="4"/>
  <c r="K235" i="4"/>
  <c r="K239" i="4"/>
  <c r="K243" i="4"/>
  <c r="K247" i="4"/>
  <c r="K251" i="4"/>
  <c r="K255" i="4"/>
  <c r="K24" i="4"/>
  <c r="K56" i="4"/>
  <c r="K76" i="4"/>
  <c r="K88" i="4"/>
  <c r="K100" i="4"/>
  <c r="K112" i="4"/>
  <c r="K124" i="4"/>
  <c r="K136" i="4"/>
  <c r="K148" i="4"/>
  <c r="K160" i="4"/>
  <c r="K172" i="4"/>
  <c r="K184" i="4"/>
  <c r="K196" i="4"/>
  <c r="K208" i="4"/>
  <c r="K228" i="4"/>
  <c r="K240" i="4"/>
  <c r="K252" i="4"/>
  <c r="K12" i="4"/>
  <c r="K13" i="4"/>
  <c r="K17" i="4"/>
  <c r="K21" i="4"/>
  <c r="K25" i="4"/>
  <c r="K29" i="4"/>
  <c r="K33" i="4"/>
  <c r="K37" i="4"/>
  <c r="K41" i="4"/>
  <c r="K45" i="4"/>
  <c r="K49" i="4"/>
  <c r="K53" i="4"/>
  <c r="K57" i="4"/>
  <c r="K61" i="4"/>
  <c r="K65" i="4"/>
  <c r="K69" i="4"/>
  <c r="K73" i="4"/>
  <c r="K77" i="4"/>
  <c r="K81" i="4"/>
  <c r="K85" i="4"/>
  <c r="K89" i="4"/>
  <c r="K93" i="4"/>
  <c r="K97" i="4"/>
  <c r="K101" i="4"/>
  <c r="K105" i="4"/>
  <c r="K109" i="4"/>
  <c r="K113" i="4"/>
  <c r="K117" i="4"/>
  <c r="K121" i="4"/>
  <c r="K125" i="4"/>
  <c r="K129" i="4"/>
  <c r="K133" i="4"/>
  <c r="K137" i="4"/>
  <c r="K141" i="4"/>
  <c r="K145" i="4"/>
  <c r="K149" i="4"/>
  <c r="K153" i="4"/>
  <c r="K157" i="4"/>
  <c r="K161" i="4"/>
  <c r="K165" i="4"/>
  <c r="K169" i="4"/>
  <c r="K173" i="4"/>
  <c r="K177" i="4"/>
  <c r="K181" i="4"/>
  <c r="K185" i="4"/>
  <c r="K189" i="4"/>
  <c r="K193" i="4"/>
  <c r="K197" i="4"/>
  <c r="K201" i="4"/>
  <c r="K205" i="4"/>
  <c r="K209" i="4"/>
  <c r="K213" i="4"/>
  <c r="K217" i="4"/>
  <c r="K221" i="4"/>
  <c r="K225" i="4"/>
  <c r="K229" i="4"/>
  <c r="K233" i="4"/>
  <c r="K237" i="4"/>
  <c r="K241" i="4"/>
  <c r="K245" i="4"/>
  <c r="K249" i="4"/>
  <c r="K253" i="4"/>
  <c r="K20" i="4"/>
  <c r="K28" i="4"/>
  <c r="K36" i="4"/>
  <c r="K44" i="4"/>
  <c r="K52" i="4"/>
  <c r="K64" i="4"/>
  <c r="K72" i="4"/>
  <c r="K84" i="4"/>
  <c r="K96" i="4"/>
  <c r="K108" i="4"/>
  <c r="K120" i="4"/>
  <c r="K132" i="4"/>
  <c r="K144" i="4"/>
  <c r="K156" i="4"/>
  <c r="K168" i="4"/>
  <c r="K180" i="4"/>
  <c r="K192" i="4"/>
  <c r="K204" i="4"/>
  <c r="K216" i="4"/>
  <c r="K220" i="4"/>
  <c r="K232" i="4"/>
  <c r="K244" i="4"/>
  <c r="K10" i="4"/>
  <c r="K14" i="4"/>
  <c r="K18" i="4"/>
  <c r="K22" i="4"/>
  <c r="K26" i="4"/>
  <c r="K30" i="4"/>
  <c r="K34" i="4"/>
  <c r="K38" i="4"/>
  <c r="K42" i="4"/>
  <c r="K46" i="4"/>
  <c r="K50" i="4"/>
  <c r="K54" i="4"/>
  <c r="K58" i="4"/>
  <c r="K62" i="4"/>
  <c r="K66" i="4"/>
  <c r="K70" i="4"/>
  <c r="K74" i="4"/>
  <c r="K78" i="4"/>
  <c r="K82" i="4"/>
  <c r="K86" i="4"/>
  <c r="K90" i="4"/>
  <c r="K94" i="4"/>
  <c r="K98" i="4"/>
  <c r="K102" i="4"/>
  <c r="K106" i="4"/>
  <c r="K110" i="4"/>
  <c r="K114" i="4"/>
  <c r="K118" i="4"/>
  <c r="K122" i="4"/>
  <c r="K126" i="4"/>
  <c r="K130" i="4"/>
  <c r="K134" i="4"/>
  <c r="K138" i="4"/>
  <c r="K142" i="4"/>
  <c r="K146" i="4"/>
  <c r="K150" i="4"/>
  <c r="K154" i="4"/>
  <c r="K158" i="4"/>
  <c r="K162" i="4"/>
  <c r="K166" i="4"/>
  <c r="K170" i="4"/>
  <c r="K174" i="4"/>
  <c r="K178" i="4"/>
  <c r="K182" i="4"/>
  <c r="K186" i="4"/>
  <c r="K190" i="4"/>
  <c r="K194" i="4"/>
  <c r="K198" i="4"/>
  <c r="K202" i="4"/>
  <c r="K206" i="4"/>
  <c r="K210" i="4"/>
  <c r="K214" i="4"/>
  <c r="K218" i="4"/>
  <c r="K222" i="4"/>
  <c r="K226" i="4"/>
  <c r="K230" i="4"/>
  <c r="K234" i="4"/>
  <c r="K238" i="4"/>
  <c r="K242" i="4"/>
  <c r="K246" i="4"/>
  <c r="K250" i="4"/>
  <c r="K254" i="4"/>
  <c r="K16" i="4"/>
  <c r="K32" i="4"/>
  <c r="K40" i="4"/>
  <c r="K48" i="4"/>
  <c r="K60" i="4"/>
  <c r="K68" i="4"/>
  <c r="K80" i="4"/>
  <c r="K92" i="4"/>
  <c r="K104" i="4"/>
  <c r="K116" i="4"/>
  <c r="K128" i="4"/>
  <c r="K140" i="4"/>
  <c r="K152" i="4"/>
  <c r="K164" i="4"/>
  <c r="K176" i="4"/>
  <c r="K188" i="4"/>
  <c r="K200" i="4"/>
  <c r="K212" i="4"/>
  <c r="K224" i="4"/>
  <c r="K236" i="4"/>
  <c r="K248" i="4"/>
  <c r="AZ9" i="3"/>
  <c r="BA54" i="3" l="1"/>
  <c r="AI21" i="3"/>
  <c r="AI20" i="3"/>
  <c r="AI19" i="3"/>
  <c r="AI18" i="3"/>
  <c r="AI17" i="3"/>
  <c r="AI16" i="3"/>
  <c r="AI15" i="3"/>
  <c r="AI14" i="3"/>
  <c r="AI13" i="3"/>
  <c r="AI12" i="3"/>
  <c r="H41" i="3" l="1"/>
  <c r="F41" i="2"/>
  <c r="G41" i="2"/>
  <c r="H41" i="2"/>
  <c r="H43" i="2" s="1"/>
  <c r="I41" i="2"/>
  <c r="J41" i="2"/>
  <c r="E46" i="2"/>
  <c r="L46" i="2" s="1"/>
  <c r="E45" i="2"/>
  <c r="E47" i="2" s="1"/>
  <c r="J45" i="2"/>
  <c r="I45" i="2"/>
  <c r="H45" i="2"/>
  <c r="G45" i="2"/>
  <c r="F45" i="2"/>
  <c r="L42" i="2"/>
  <c r="K42" i="2"/>
  <c r="J42" i="2"/>
  <c r="J43" i="2" s="1"/>
  <c r="I42" i="2"/>
  <c r="I43" i="2" s="1"/>
  <c r="H42" i="2"/>
  <c r="G42" i="2"/>
  <c r="F42" i="2"/>
  <c r="F43" i="2" s="1"/>
  <c r="G43" i="2" l="1"/>
  <c r="I46" i="2"/>
  <c r="I47" i="2" s="1"/>
  <c r="F46" i="2"/>
  <c r="F47" i="2" s="1"/>
  <c r="J46" i="2"/>
  <c r="J47" i="2" s="1"/>
  <c r="G46" i="2"/>
  <c r="G47" i="2" s="1"/>
  <c r="K46" i="2"/>
  <c r="H46" i="2"/>
  <c r="H47" i="2" s="1"/>
  <c r="AE21" i="3"/>
  <c r="AE20" i="3"/>
  <c r="AE19" i="3"/>
  <c r="AE18" i="3"/>
  <c r="AE17" i="3"/>
  <c r="AE16" i="3"/>
  <c r="AE15" i="3"/>
  <c r="AE13" i="3"/>
  <c r="AE12" i="3"/>
  <c r="AB18" i="3"/>
  <c r="AA18" i="3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D10" i="4"/>
  <c r="E10" i="4"/>
  <c r="F10" i="4"/>
  <c r="G10" i="4"/>
  <c r="H10" i="4"/>
  <c r="I10" i="4"/>
  <c r="L10" i="4"/>
  <c r="M10" i="4"/>
  <c r="N10" i="4"/>
  <c r="O10" i="4"/>
  <c r="P10" i="4"/>
  <c r="Q10" i="4"/>
  <c r="R10" i="4"/>
  <c r="S10" i="4"/>
  <c r="C11" i="4"/>
  <c r="D11" i="4"/>
  <c r="E11" i="4"/>
  <c r="F11" i="4"/>
  <c r="G11" i="4"/>
  <c r="H11" i="4"/>
  <c r="I11" i="4"/>
  <c r="J11" i="4"/>
  <c r="L11" i="4"/>
  <c r="M11" i="4"/>
  <c r="N11" i="4"/>
  <c r="O11" i="4"/>
  <c r="P11" i="4"/>
  <c r="Q11" i="4"/>
  <c r="R11" i="4"/>
  <c r="S11" i="4"/>
  <c r="C12" i="4"/>
  <c r="D12" i="4"/>
  <c r="E12" i="4"/>
  <c r="F12" i="4"/>
  <c r="G12" i="4"/>
  <c r="H12" i="4"/>
  <c r="I12" i="4"/>
  <c r="J12" i="4"/>
  <c r="L12" i="4"/>
  <c r="M12" i="4"/>
  <c r="N12" i="4"/>
  <c r="O12" i="4"/>
  <c r="P12" i="4"/>
  <c r="Q12" i="4"/>
  <c r="R12" i="4"/>
  <c r="S12" i="4"/>
  <c r="C13" i="4"/>
  <c r="D13" i="4"/>
  <c r="E13" i="4"/>
  <c r="F13" i="4"/>
  <c r="G13" i="4"/>
  <c r="H13" i="4"/>
  <c r="I13" i="4"/>
  <c r="J13" i="4"/>
  <c r="L13" i="4"/>
  <c r="M13" i="4"/>
  <c r="N13" i="4"/>
  <c r="O13" i="4"/>
  <c r="P13" i="4"/>
  <c r="Q13" i="4"/>
  <c r="R13" i="4"/>
  <c r="S13" i="4"/>
  <c r="C14" i="4"/>
  <c r="D14" i="4"/>
  <c r="E14" i="4"/>
  <c r="F14" i="4"/>
  <c r="G14" i="4"/>
  <c r="H14" i="4"/>
  <c r="I14" i="4"/>
  <c r="J14" i="4"/>
  <c r="L14" i="4"/>
  <c r="M14" i="4"/>
  <c r="N14" i="4"/>
  <c r="O14" i="4"/>
  <c r="P14" i="4"/>
  <c r="Q14" i="4"/>
  <c r="R14" i="4"/>
  <c r="S14" i="4"/>
  <c r="C15" i="4"/>
  <c r="D15" i="4"/>
  <c r="E15" i="4"/>
  <c r="F15" i="4"/>
  <c r="G15" i="4"/>
  <c r="H15" i="4"/>
  <c r="I15" i="4"/>
  <c r="J15" i="4"/>
  <c r="L15" i="4"/>
  <c r="M15" i="4"/>
  <c r="N15" i="4"/>
  <c r="O15" i="4"/>
  <c r="P15" i="4"/>
  <c r="Q15" i="4"/>
  <c r="R15" i="4"/>
  <c r="S15" i="4"/>
  <c r="C16" i="4"/>
  <c r="D16" i="4"/>
  <c r="E16" i="4"/>
  <c r="F16" i="4"/>
  <c r="G16" i="4"/>
  <c r="H16" i="4"/>
  <c r="I16" i="4"/>
  <c r="J16" i="4"/>
  <c r="L16" i="4"/>
  <c r="M16" i="4"/>
  <c r="N16" i="4"/>
  <c r="O16" i="4"/>
  <c r="P16" i="4"/>
  <c r="Q16" i="4"/>
  <c r="R16" i="4"/>
  <c r="S16" i="4"/>
  <c r="C17" i="4"/>
  <c r="D17" i="4"/>
  <c r="E17" i="4"/>
  <c r="F17" i="4"/>
  <c r="G17" i="4"/>
  <c r="H17" i="4"/>
  <c r="I17" i="4"/>
  <c r="J17" i="4"/>
  <c r="L17" i="4"/>
  <c r="M17" i="4"/>
  <c r="N17" i="4"/>
  <c r="O17" i="4"/>
  <c r="P17" i="4"/>
  <c r="Q17" i="4"/>
  <c r="R17" i="4"/>
  <c r="S17" i="4"/>
  <c r="C18" i="4"/>
  <c r="D18" i="4"/>
  <c r="E18" i="4"/>
  <c r="F18" i="4"/>
  <c r="G18" i="4"/>
  <c r="H18" i="4"/>
  <c r="I18" i="4"/>
  <c r="J18" i="4"/>
  <c r="L18" i="4"/>
  <c r="M18" i="4"/>
  <c r="N18" i="4"/>
  <c r="O18" i="4"/>
  <c r="P18" i="4"/>
  <c r="Q18" i="4"/>
  <c r="R18" i="4"/>
  <c r="S18" i="4"/>
  <c r="C19" i="4"/>
  <c r="D19" i="4"/>
  <c r="E19" i="4"/>
  <c r="F19" i="4"/>
  <c r="G19" i="4"/>
  <c r="H19" i="4"/>
  <c r="I19" i="4"/>
  <c r="J19" i="4"/>
  <c r="L19" i="4"/>
  <c r="M19" i="4"/>
  <c r="N19" i="4"/>
  <c r="O19" i="4"/>
  <c r="P19" i="4"/>
  <c r="Q19" i="4"/>
  <c r="R19" i="4"/>
  <c r="S19" i="4"/>
  <c r="C20" i="4"/>
  <c r="D20" i="4"/>
  <c r="E20" i="4"/>
  <c r="F20" i="4"/>
  <c r="G20" i="4"/>
  <c r="H20" i="4"/>
  <c r="I20" i="4"/>
  <c r="J20" i="4"/>
  <c r="L20" i="4"/>
  <c r="M20" i="4"/>
  <c r="N20" i="4"/>
  <c r="O20" i="4"/>
  <c r="P20" i="4"/>
  <c r="Q20" i="4"/>
  <c r="R20" i="4"/>
  <c r="S20" i="4"/>
  <c r="C21" i="4"/>
  <c r="D21" i="4"/>
  <c r="E21" i="4"/>
  <c r="F21" i="4"/>
  <c r="G21" i="4"/>
  <c r="H21" i="4"/>
  <c r="I21" i="4"/>
  <c r="J21" i="4"/>
  <c r="L21" i="4"/>
  <c r="M21" i="4"/>
  <c r="N21" i="4"/>
  <c r="O21" i="4"/>
  <c r="P21" i="4"/>
  <c r="Q21" i="4"/>
  <c r="R21" i="4"/>
  <c r="S21" i="4"/>
  <c r="C22" i="4"/>
  <c r="D22" i="4"/>
  <c r="E22" i="4"/>
  <c r="F22" i="4"/>
  <c r="G22" i="4"/>
  <c r="H22" i="4"/>
  <c r="I22" i="4"/>
  <c r="J22" i="4"/>
  <c r="L22" i="4"/>
  <c r="M22" i="4"/>
  <c r="N22" i="4"/>
  <c r="O22" i="4"/>
  <c r="P22" i="4"/>
  <c r="Q22" i="4"/>
  <c r="R22" i="4"/>
  <c r="S22" i="4"/>
  <c r="C23" i="4"/>
  <c r="D23" i="4"/>
  <c r="E23" i="4"/>
  <c r="F23" i="4"/>
  <c r="G23" i="4"/>
  <c r="H23" i="4"/>
  <c r="I23" i="4"/>
  <c r="J23" i="4"/>
  <c r="L23" i="4"/>
  <c r="M23" i="4"/>
  <c r="N23" i="4"/>
  <c r="O23" i="4"/>
  <c r="P23" i="4"/>
  <c r="Q23" i="4"/>
  <c r="R23" i="4"/>
  <c r="S23" i="4"/>
  <c r="C24" i="4"/>
  <c r="D24" i="4"/>
  <c r="E24" i="4"/>
  <c r="F24" i="4"/>
  <c r="G24" i="4"/>
  <c r="H24" i="4"/>
  <c r="I24" i="4"/>
  <c r="J24" i="4"/>
  <c r="L24" i="4"/>
  <c r="M24" i="4"/>
  <c r="N24" i="4"/>
  <c r="O24" i="4"/>
  <c r="P24" i="4"/>
  <c r="Q24" i="4"/>
  <c r="R24" i="4"/>
  <c r="S24" i="4"/>
  <c r="C25" i="4"/>
  <c r="D25" i="4"/>
  <c r="E25" i="4"/>
  <c r="F25" i="4"/>
  <c r="G25" i="4"/>
  <c r="H25" i="4"/>
  <c r="I25" i="4"/>
  <c r="J25" i="4"/>
  <c r="L25" i="4"/>
  <c r="M25" i="4"/>
  <c r="N25" i="4"/>
  <c r="O25" i="4"/>
  <c r="P25" i="4"/>
  <c r="Q25" i="4"/>
  <c r="R25" i="4"/>
  <c r="S25" i="4"/>
  <c r="C26" i="4"/>
  <c r="D26" i="4"/>
  <c r="E26" i="4"/>
  <c r="F26" i="4"/>
  <c r="G26" i="4"/>
  <c r="H26" i="4"/>
  <c r="I26" i="4"/>
  <c r="J26" i="4"/>
  <c r="L26" i="4"/>
  <c r="M26" i="4"/>
  <c r="N26" i="4"/>
  <c r="O26" i="4"/>
  <c r="P26" i="4"/>
  <c r="Q26" i="4"/>
  <c r="R26" i="4"/>
  <c r="S26" i="4"/>
  <c r="C27" i="4"/>
  <c r="D27" i="4"/>
  <c r="E27" i="4"/>
  <c r="F27" i="4"/>
  <c r="G27" i="4"/>
  <c r="H27" i="4"/>
  <c r="I27" i="4"/>
  <c r="J27" i="4"/>
  <c r="L27" i="4"/>
  <c r="M27" i="4"/>
  <c r="N27" i="4"/>
  <c r="O27" i="4"/>
  <c r="P27" i="4"/>
  <c r="Q27" i="4"/>
  <c r="R27" i="4"/>
  <c r="S27" i="4"/>
  <c r="C28" i="4"/>
  <c r="D28" i="4"/>
  <c r="E28" i="4"/>
  <c r="F28" i="4"/>
  <c r="G28" i="4"/>
  <c r="H28" i="4"/>
  <c r="I28" i="4"/>
  <c r="J28" i="4"/>
  <c r="L28" i="4"/>
  <c r="M28" i="4"/>
  <c r="N28" i="4"/>
  <c r="O28" i="4"/>
  <c r="P28" i="4"/>
  <c r="Q28" i="4"/>
  <c r="R28" i="4"/>
  <c r="S28" i="4"/>
  <c r="C29" i="4"/>
  <c r="D29" i="4"/>
  <c r="E29" i="4"/>
  <c r="F29" i="4"/>
  <c r="G29" i="4"/>
  <c r="H29" i="4"/>
  <c r="I29" i="4"/>
  <c r="J29" i="4"/>
  <c r="L29" i="4"/>
  <c r="M29" i="4"/>
  <c r="N29" i="4"/>
  <c r="O29" i="4"/>
  <c r="P29" i="4"/>
  <c r="Q29" i="4"/>
  <c r="R29" i="4"/>
  <c r="S29" i="4"/>
  <c r="C30" i="4"/>
  <c r="D30" i="4"/>
  <c r="E30" i="4"/>
  <c r="F30" i="4"/>
  <c r="G30" i="4"/>
  <c r="H30" i="4"/>
  <c r="I30" i="4"/>
  <c r="J30" i="4"/>
  <c r="L30" i="4"/>
  <c r="M30" i="4"/>
  <c r="N30" i="4"/>
  <c r="O30" i="4"/>
  <c r="P30" i="4"/>
  <c r="Q30" i="4"/>
  <c r="R30" i="4"/>
  <c r="S30" i="4"/>
  <c r="C31" i="4"/>
  <c r="D31" i="4"/>
  <c r="E31" i="4"/>
  <c r="F31" i="4"/>
  <c r="G31" i="4"/>
  <c r="H31" i="4"/>
  <c r="I31" i="4"/>
  <c r="J31" i="4"/>
  <c r="L31" i="4"/>
  <c r="M31" i="4"/>
  <c r="N31" i="4"/>
  <c r="O31" i="4"/>
  <c r="P31" i="4"/>
  <c r="Q31" i="4"/>
  <c r="R31" i="4"/>
  <c r="S31" i="4"/>
  <c r="C32" i="4"/>
  <c r="D32" i="4"/>
  <c r="E32" i="4"/>
  <c r="F32" i="4"/>
  <c r="G32" i="4"/>
  <c r="H32" i="4"/>
  <c r="I32" i="4"/>
  <c r="J32" i="4"/>
  <c r="L32" i="4"/>
  <c r="M32" i="4"/>
  <c r="N32" i="4"/>
  <c r="O32" i="4"/>
  <c r="P32" i="4"/>
  <c r="Q32" i="4"/>
  <c r="R32" i="4"/>
  <c r="S32" i="4"/>
  <c r="C33" i="4"/>
  <c r="D33" i="4"/>
  <c r="E33" i="4"/>
  <c r="F33" i="4"/>
  <c r="G33" i="4"/>
  <c r="H33" i="4"/>
  <c r="I33" i="4"/>
  <c r="J33" i="4"/>
  <c r="L33" i="4"/>
  <c r="M33" i="4"/>
  <c r="N33" i="4"/>
  <c r="O33" i="4"/>
  <c r="P33" i="4"/>
  <c r="Q33" i="4"/>
  <c r="R33" i="4"/>
  <c r="S33" i="4"/>
  <c r="C34" i="4"/>
  <c r="D34" i="4"/>
  <c r="E34" i="4"/>
  <c r="F34" i="4"/>
  <c r="G34" i="4"/>
  <c r="H34" i="4"/>
  <c r="I34" i="4"/>
  <c r="J34" i="4"/>
  <c r="L34" i="4"/>
  <c r="M34" i="4"/>
  <c r="N34" i="4"/>
  <c r="O34" i="4"/>
  <c r="P34" i="4"/>
  <c r="Q34" i="4"/>
  <c r="R34" i="4"/>
  <c r="S34" i="4"/>
  <c r="C35" i="4"/>
  <c r="D35" i="4"/>
  <c r="E35" i="4"/>
  <c r="F35" i="4"/>
  <c r="G35" i="4"/>
  <c r="H35" i="4"/>
  <c r="I35" i="4"/>
  <c r="J35" i="4"/>
  <c r="L35" i="4"/>
  <c r="M35" i="4"/>
  <c r="N35" i="4"/>
  <c r="O35" i="4"/>
  <c r="P35" i="4"/>
  <c r="Q35" i="4"/>
  <c r="R35" i="4"/>
  <c r="S35" i="4"/>
  <c r="C36" i="4"/>
  <c r="D36" i="4"/>
  <c r="E36" i="4"/>
  <c r="F36" i="4"/>
  <c r="G36" i="4"/>
  <c r="H36" i="4"/>
  <c r="I36" i="4"/>
  <c r="J36" i="4"/>
  <c r="L36" i="4"/>
  <c r="M36" i="4"/>
  <c r="N36" i="4"/>
  <c r="O36" i="4"/>
  <c r="P36" i="4"/>
  <c r="Q36" i="4"/>
  <c r="R36" i="4"/>
  <c r="S36" i="4"/>
  <c r="C37" i="4"/>
  <c r="D37" i="4"/>
  <c r="E37" i="4"/>
  <c r="F37" i="4"/>
  <c r="G37" i="4"/>
  <c r="H37" i="4"/>
  <c r="I37" i="4"/>
  <c r="J37" i="4"/>
  <c r="L37" i="4"/>
  <c r="M37" i="4"/>
  <c r="N37" i="4"/>
  <c r="O37" i="4"/>
  <c r="P37" i="4"/>
  <c r="Q37" i="4"/>
  <c r="R37" i="4"/>
  <c r="S37" i="4"/>
  <c r="C38" i="4"/>
  <c r="D38" i="4"/>
  <c r="E38" i="4"/>
  <c r="F38" i="4"/>
  <c r="G38" i="4"/>
  <c r="H38" i="4"/>
  <c r="I38" i="4"/>
  <c r="J38" i="4"/>
  <c r="L38" i="4"/>
  <c r="M38" i="4"/>
  <c r="N38" i="4"/>
  <c r="O38" i="4"/>
  <c r="P38" i="4"/>
  <c r="Q38" i="4"/>
  <c r="R38" i="4"/>
  <c r="S38" i="4"/>
  <c r="C39" i="4"/>
  <c r="D39" i="4"/>
  <c r="E39" i="4"/>
  <c r="F39" i="4"/>
  <c r="G39" i="4"/>
  <c r="H39" i="4"/>
  <c r="I39" i="4"/>
  <c r="J39" i="4"/>
  <c r="L39" i="4"/>
  <c r="M39" i="4"/>
  <c r="N39" i="4"/>
  <c r="O39" i="4"/>
  <c r="P39" i="4"/>
  <c r="Q39" i="4"/>
  <c r="R39" i="4"/>
  <c r="S39" i="4"/>
  <c r="C40" i="4"/>
  <c r="D40" i="4"/>
  <c r="E40" i="4"/>
  <c r="F40" i="4"/>
  <c r="G40" i="4"/>
  <c r="H40" i="4"/>
  <c r="I40" i="4"/>
  <c r="J40" i="4"/>
  <c r="L40" i="4"/>
  <c r="M40" i="4"/>
  <c r="N40" i="4"/>
  <c r="O40" i="4"/>
  <c r="P40" i="4"/>
  <c r="Q40" i="4"/>
  <c r="R40" i="4"/>
  <c r="S40" i="4"/>
  <c r="C41" i="4"/>
  <c r="D41" i="4"/>
  <c r="E41" i="4"/>
  <c r="F41" i="4"/>
  <c r="G41" i="4"/>
  <c r="H41" i="4"/>
  <c r="I41" i="4"/>
  <c r="J41" i="4"/>
  <c r="L41" i="4"/>
  <c r="M41" i="4"/>
  <c r="N41" i="4"/>
  <c r="O41" i="4"/>
  <c r="P41" i="4"/>
  <c r="Q41" i="4"/>
  <c r="R41" i="4"/>
  <c r="S41" i="4"/>
  <c r="C42" i="4"/>
  <c r="D42" i="4"/>
  <c r="E42" i="4"/>
  <c r="F42" i="4"/>
  <c r="G42" i="4"/>
  <c r="H42" i="4"/>
  <c r="I42" i="4"/>
  <c r="J42" i="4"/>
  <c r="L42" i="4"/>
  <c r="M42" i="4"/>
  <c r="N42" i="4"/>
  <c r="O42" i="4"/>
  <c r="P42" i="4"/>
  <c r="Q42" i="4"/>
  <c r="R42" i="4"/>
  <c r="S42" i="4"/>
  <c r="C43" i="4"/>
  <c r="D43" i="4"/>
  <c r="E43" i="4"/>
  <c r="F43" i="4"/>
  <c r="G43" i="4"/>
  <c r="H43" i="4"/>
  <c r="I43" i="4"/>
  <c r="J43" i="4"/>
  <c r="L43" i="4"/>
  <c r="M43" i="4"/>
  <c r="N43" i="4"/>
  <c r="O43" i="4"/>
  <c r="P43" i="4"/>
  <c r="Q43" i="4"/>
  <c r="R43" i="4"/>
  <c r="S43" i="4"/>
  <c r="C44" i="4"/>
  <c r="D44" i="4"/>
  <c r="E44" i="4"/>
  <c r="F44" i="4"/>
  <c r="G44" i="4"/>
  <c r="H44" i="4"/>
  <c r="I44" i="4"/>
  <c r="J44" i="4"/>
  <c r="L44" i="4"/>
  <c r="M44" i="4"/>
  <c r="N44" i="4"/>
  <c r="O44" i="4"/>
  <c r="P44" i="4"/>
  <c r="Q44" i="4"/>
  <c r="R44" i="4"/>
  <c r="S44" i="4"/>
  <c r="C45" i="4"/>
  <c r="D45" i="4"/>
  <c r="E45" i="4"/>
  <c r="F45" i="4"/>
  <c r="G45" i="4"/>
  <c r="H45" i="4"/>
  <c r="I45" i="4"/>
  <c r="J45" i="4"/>
  <c r="L45" i="4"/>
  <c r="M45" i="4"/>
  <c r="N45" i="4"/>
  <c r="O45" i="4"/>
  <c r="P45" i="4"/>
  <c r="Q45" i="4"/>
  <c r="R45" i="4"/>
  <c r="S45" i="4"/>
  <c r="C46" i="4"/>
  <c r="D46" i="4"/>
  <c r="E46" i="4"/>
  <c r="F46" i="4"/>
  <c r="G46" i="4"/>
  <c r="H46" i="4"/>
  <c r="I46" i="4"/>
  <c r="J46" i="4"/>
  <c r="L46" i="4"/>
  <c r="M46" i="4"/>
  <c r="N46" i="4"/>
  <c r="O46" i="4"/>
  <c r="P46" i="4"/>
  <c r="Q46" i="4"/>
  <c r="R46" i="4"/>
  <c r="S46" i="4"/>
  <c r="C47" i="4"/>
  <c r="D47" i="4"/>
  <c r="E47" i="4"/>
  <c r="F47" i="4"/>
  <c r="G47" i="4"/>
  <c r="H47" i="4"/>
  <c r="I47" i="4"/>
  <c r="J47" i="4"/>
  <c r="L47" i="4"/>
  <c r="M47" i="4"/>
  <c r="N47" i="4"/>
  <c r="O47" i="4"/>
  <c r="P47" i="4"/>
  <c r="Q47" i="4"/>
  <c r="R47" i="4"/>
  <c r="S47" i="4"/>
  <c r="C48" i="4"/>
  <c r="D48" i="4"/>
  <c r="E48" i="4"/>
  <c r="F48" i="4"/>
  <c r="G48" i="4"/>
  <c r="H48" i="4"/>
  <c r="I48" i="4"/>
  <c r="J48" i="4"/>
  <c r="L48" i="4"/>
  <c r="M48" i="4"/>
  <c r="N48" i="4"/>
  <c r="O48" i="4"/>
  <c r="P48" i="4"/>
  <c r="Q48" i="4"/>
  <c r="R48" i="4"/>
  <c r="S48" i="4"/>
  <c r="C49" i="4"/>
  <c r="D49" i="4"/>
  <c r="E49" i="4"/>
  <c r="F49" i="4"/>
  <c r="G49" i="4"/>
  <c r="H49" i="4"/>
  <c r="I49" i="4"/>
  <c r="J49" i="4"/>
  <c r="L49" i="4"/>
  <c r="M49" i="4"/>
  <c r="N49" i="4"/>
  <c r="O49" i="4"/>
  <c r="P49" i="4"/>
  <c r="Q49" i="4"/>
  <c r="R49" i="4"/>
  <c r="S49" i="4"/>
  <c r="C50" i="4"/>
  <c r="D50" i="4"/>
  <c r="E50" i="4"/>
  <c r="F50" i="4"/>
  <c r="G50" i="4"/>
  <c r="H50" i="4"/>
  <c r="I50" i="4"/>
  <c r="J50" i="4"/>
  <c r="L50" i="4"/>
  <c r="M50" i="4"/>
  <c r="N50" i="4"/>
  <c r="O50" i="4"/>
  <c r="P50" i="4"/>
  <c r="Q50" i="4"/>
  <c r="R50" i="4"/>
  <c r="S50" i="4"/>
  <c r="C51" i="4"/>
  <c r="D51" i="4"/>
  <c r="E51" i="4"/>
  <c r="F51" i="4"/>
  <c r="G51" i="4"/>
  <c r="H51" i="4"/>
  <c r="I51" i="4"/>
  <c r="J51" i="4"/>
  <c r="L51" i="4"/>
  <c r="M51" i="4"/>
  <c r="N51" i="4"/>
  <c r="O51" i="4"/>
  <c r="P51" i="4"/>
  <c r="Q51" i="4"/>
  <c r="R51" i="4"/>
  <c r="S51" i="4"/>
  <c r="C52" i="4"/>
  <c r="D52" i="4"/>
  <c r="E52" i="4"/>
  <c r="F52" i="4"/>
  <c r="G52" i="4"/>
  <c r="H52" i="4"/>
  <c r="I52" i="4"/>
  <c r="J52" i="4"/>
  <c r="L52" i="4"/>
  <c r="M52" i="4"/>
  <c r="N52" i="4"/>
  <c r="O52" i="4"/>
  <c r="P52" i="4"/>
  <c r="Q52" i="4"/>
  <c r="R52" i="4"/>
  <c r="S52" i="4"/>
  <c r="C53" i="4"/>
  <c r="D53" i="4"/>
  <c r="E53" i="4"/>
  <c r="F53" i="4"/>
  <c r="G53" i="4"/>
  <c r="H53" i="4"/>
  <c r="I53" i="4"/>
  <c r="J53" i="4"/>
  <c r="L53" i="4"/>
  <c r="M53" i="4"/>
  <c r="N53" i="4"/>
  <c r="O53" i="4"/>
  <c r="P53" i="4"/>
  <c r="Q53" i="4"/>
  <c r="R53" i="4"/>
  <c r="S53" i="4"/>
  <c r="C54" i="4"/>
  <c r="D54" i="4"/>
  <c r="E54" i="4"/>
  <c r="F54" i="4"/>
  <c r="G54" i="4"/>
  <c r="H54" i="4"/>
  <c r="I54" i="4"/>
  <c r="J54" i="4"/>
  <c r="L54" i="4"/>
  <c r="M54" i="4"/>
  <c r="N54" i="4"/>
  <c r="O54" i="4"/>
  <c r="P54" i="4"/>
  <c r="Q54" i="4"/>
  <c r="R54" i="4"/>
  <c r="S54" i="4"/>
  <c r="C55" i="4"/>
  <c r="D55" i="4"/>
  <c r="E55" i="4"/>
  <c r="F55" i="4"/>
  <c r="G55" i="4"/>
  <c r="H55" i="4"/>
  <c r="I55" i="4"/>
  <c r="J55" i="4"/>
  <c r="L55" i="4"/>
  <c r="M55" i="4"/>
  <c r="N55" i="4"/>
  <c r="O55" i="4"/>
  <c r="P55" i="4"/>
  <c r="Q55" i="4"/>
  <c r="R55" i="4"/>
  <c r="S55" i="4"/>
  <c r="C56" i="4"/>
  <c r="D56" i="4"/>
  <c r="E56" i="4"/>
  <c r="F56" i="4"/>
  <c r="G56" i="4"/>
  <c r="H56" i="4"/>
  <c r="I56" i="4"/>
  <c r="J56" i="4"/>
  <c r="L56" i="4"/>
  <c r="M56" i="4"/>
  <c r="N56" i="4"/>
  <c r="O56" i="4"/>
  <c r="P56" i="4"/>
  <c r="Q56" i="4"/>
  <c r="R56" i="4"/>
  <c r="S56" i="4"/>
  <c r="C57" i="4"/>
  <c r="D57" i="4"/>
  <c r="E57" i="4"/>
  <c r="F57" i="4"/>
  <c r="G57" i="4"/>
  <c r="H57" i="4"/>
  <c r="I57" i="4"/>
  <c r="J57" i="4"/>
  <c r="L57" i="4"/>
  <c r="M57" i="4"/>
  <c r="N57" i="4"/>
  <c r="O57" i="4"/>
  <c r="P57" i="4"/>
  <c r="Q57" i="4"/>
  <c r="R57" i="4"/>
  <c r="S57" i="4"/>
  <c r="C58" i="4"/>
  <c r="D58" i="4"/>
  <c r="E58" i="4"/>
  <c r="F58" i="4"/>
  <c r="G58" i="4"/>
  <c r="H58" i="4"/>
  <c r="I58" i="4"/>
  <c r="J58" i="4"/>
  <c r="L58" i="4"/>
  <c r="M58" i="4"/>
  <c r="N58" i="4"/>
  <c r="O58" i="4"/>
  <c r="P58" i="4"/>
  <c r="Q58" i="4"/>
  <c r="R58" i="4"/>
  <c r="S58" i="4"/>
  <c r="C59" i="4"/>
  <c r="D59" i="4"/>
  <c r="E59" i="4"/>
  <c r="F59" i="4"/>
  <c r="G59" i="4"/>
  <c r="H59" i="4"/>
  <c r="I59" i="4"/>
  <c r="J59" i="4"/>
  <c r="L59" i="4"/>
  <c r="M59" i="4"/>
  <c r="N59" i="4"/>
  <c r="O59" i="4"/>
  <c r="P59" i="4"/>
  <c r="Q59" i="4"/>
  <c r="R59" i="4"/>
  <c r="S59" i="4"/>
  <c r="C60" i="4"/>
  <c r="D60" i="4"/>
  <c r="E60" i="4"/>
  <c r="F60" i="4"/>
  <c r="G60" i="4"/>
  <c r="H60" i="4"/>
  <c r="I60" i="4"/>
  <c r="J60" i="4"/>
  <c r="L60" i="4"/>
  <c r="M60" i="4"/>
  <c r="N60" i="4"/>
  <c r="O60" i="4"/>
  <c r="P60" i="4"/>
  <c r="Q60" i="4"/>
  <c r="R60" i="4"/>
  <c r="S60" i="4"/>
  <c r="C61" i="4"/>
  <c r="D61" i="4"/>
  <c r="E61" i="4"/>
  <c r="F61" i="4"/>
  <c r="G61" i="4"/>
  <c r="H61" i="4"/>
  <c r="I61" i="4"/>
  <c r="J61" i="4"/>
  <c r="L61" i="4"/>
  <c r="M61" i="4"/>
  <c r="N61" i="4"/>
  <c r="O61" i="4"/>
  <c r="P61" i="4"/>
  <c r="Q61" i="4"/>
  <c r="R61" i="4"/>
  <c r="S61" i="4"/>
  <c r="C62" i="4"/>
  <c r="D62" i="4"/>
  <c r="E62" i="4"/>
  <c r="F62" i="4"/>
  <c r="G62" i="4"/>
  <c r="H62" i="4"/>
  <c r="I62" i="4"/>
  <c r="J62" i="4"/>
  <c r="L62" i="4"/>
  <c r="M62" i="4"/>
  <c r="N62" i="4"/>
  <c r="O62" i="4"/>
  <c r="P62" i="4"/>
  <c r="Q62" i="4"/>
  <c r="R62" i="4"/>
  <c r="S62" i="4"/>
  <c r="C63" i="4"/>
  <c r="D63" i="4"/>
  <c r="E63" i="4"/>
  <c r="F63" i="4"/>
  <c r="G63" i="4"/>
  <c r="H63" i="4"/>
  <c r="I63" i="4"/>
  <c r="J63" i="4"/>
  <c r="L63" i="4"/>
  <c r="M63" i="4"/>
  <c r="N63" i="4"/>
  <c r="O63" i="4"/>
  <c r="P63" i="4"/>
  <c r="Q63" i="4"/>
  <c r="R63" i="4"/>
  <c r="S63" i="4"/>
  <c r="C64" i="4"/>
  <c r="D64" i="4"/>
  <c r="E64" i="4"/>
  <c r="F64" i="4"/>
  <c r="G64" i="4"/>
  <c r="H64" i="4"/>
  <c r="I64" i="4"/>
  <c r="J64" i="4"/>
  <c r="L64" i="4"/>
  <c r="M64" i="4"/>
  <c r="N64" i="4"/>
  <c r="O64" i="4"/>
  <c r="P64" i="4"/>
  <c r="Q64" i="4"/>
  <c r="R64" i="4"/>
  <c r="S64" i="4"/>
  <c r="C65" i="4"/>
  <c r="D65" i="4"/>
  <c r="E65" i="4"/>
  <c r="F65" i="4"/>
  <c r="G65" i="4"/>
  <c r="H65" i="4"/>
  <c r="I65" i="4"/>
  <c r="J65" i="4"/>
  <c r="L65" i="4"/>
  <c r="M65" i="4"/>
  <c r="N65" i="4"/>
  <c r="O65" i="4"/>
  <c r="P65" i="4"/>
  <c r="Q65" i="4"/>
  <c r="R65" i="4"/>
  <c r="S65" i="4"/>
  <c r="C66" i="4"/>
  <c r="D66" i="4"/>
  <c r="E66" i="4"/>
  <c r="F66" i="4"/>
  <c r="G66" i="4"/>
  <c r="H66" i="4"/>
  <c r="I66" i="4"/>
  <c r="J66" i="4"/>
  <c r="L66" i="4"/>
  <c r="M66" i="4"/>
  <c r="N66" i="4"/>
  <c r="O66" i="4"/>
  <c r="P66" i="4"/>
  <c r="Q66" i="4"/>
  <c r="R66" i="4"/>
  <c r="S66" i="4"/>
  <c r="C67" i="4"/>
  <c r="D67" i="4"/>
  <c r="E67" i="4"/>
  <c r="F67" i="4"/>
  <c r="G67" i="4"/>
  <c r="H67" i="4"/>
  <c r="I67" i="4"/>
  <c r="J67" i="4"/>
  <c r="L67" i="4"/>
  <c r="M67" i="4"/>
  <c r="N67" i="4"/>
  <c r="O67" i="4"/>
  <c r="P67" i="4"/>
  <c r="Q67" i="4"/>
  <c r="R67" i="4"/>
  <c r="S67" i="4"/>
  <c r="C68" i="4"/>
  <c r="D68" i="4"/>
  <c r="E68" i="4"/>
  <c r="F68" i="4"/>
  <c r="G68" i="4"/>
  <c r="H68" i="4"/>
  <c r="I68" i="4"/>
  <c r="J68" i="4"/>
  <c r="L68" i="4"/>
  <c r="M68" i="4"/>
  <c r="N68" i="4"/>
  <c r="O68" i="4"/>
  <c r="P68" i="4"/>
  <c r="Q68" i="4"/>
  <c r="R68" i="4"/>
  <c r="S68" i="4"/>
  <c r="C69" i="4"/>
  <c r="D69" i="4"/>
  <c r="E69" i="4"/>
  <c r="F69" i="4"/>
  <c r="G69" i="4"/>
  <c r="H69" i="4"/>
  <c r="I69" i="4"/>
  <c r="J69" i="4"/>
  <c r="L69" i="4"/>
  <c r="M69" i="4"/>
  <c r="N69" i="4"/>
  <c r="O69" i="4"/>
  <c r="P69" i="4"/>
  <c r="Q69" i="4"/>
  <c r="R69" i="4"/>
  <c r="S69" i="4"/>
  <c r="C70" i="4"/>
  <c r="D70" i="4"/>
  <c r="E70" i="4"/>
  <c r="F70" i="4"/>
  <c r="G70" i="4"/>
  <c r="H70" i="4"/>
  <c r="I70" i="4"/>
  <c r="J70" i="4"/>
  <c r="L70" i="4"/>
  <c r="M70" i="4"/>
  <c r="N70" i="4"/>
  <c r="O70" i="4"/>
  <c r="P70" i="4"/>
  <c r="Q70" i="4"/>
  <c r="R70" i="4"/>
  <c r="S70" i="4"/>
  <c r="C71" i="4"/>
  <c r="D71" i="4"/>
  <c r="E71" i="4"/>
  <c r="F71" i="4"/>
  <c r="G71" i="4"/>
  <c r="H71" i="4"/>
  <c r="I71" i="4"/>
  <c r="J71" i="4"/>
  <c r="L71" i="4"/>
  <c r="M71" i="4"/>
  <c r="N71" i="4"/>
  <c r="O71" i="4"/>
  <c r="P71" i="4"/>
  <c r="Q71" i="4"/>
  <c r="R71" i="4"/>
  <c r="S71" i="4"/>
  <c r="C72" i="4"/>
  <c r="D72" i="4"/>
  <c r="E72" i="4"/>
  <c r="F72" i="4"/>
  <c r="G72" i="4"/>
  <c r="H72" i="4"/>
  <c r="I72" i="4"/>
  <c r="J72" i="4"/>
  <c r="L72" i="4"/>
  <c r="M72" i="4"/>
  <c r="N72" i="4"/>
  <c r="O72" i="4"/>
  <c r="P72" i="4"/>
  <c r="Q72" i="4"/>
  <c r="R72" i="4"/>
  <c r="S72" i="4"/>
  <c r="C73" i="4"/>
  <c r="D73" i="4"/>
  <c r="E73" i="4"/>
  <c r="F73" i="4"/>
  <c r="G73" i="4"/>
  <c r="H73" i="4"/>
  <c r="I73" i="4"/>
  <c r="J73" i="4"/>
  <c r="L73" i="4"/>
  <c r="M73" i="4"/>
  <c r="N73" i="4"/>
  <c r="O73" i="4"/>
  <c r="P73" i="4"/>
  <c r="Q73" i="4"/>
  <c r="R73" i="4"/>
  <c r="S73" i="4"/>
  <c r="C74" i="4"/>
  <c r="D74" i="4"/>
  <c r="E74" i="4"/>
  <c r="F74" i="4"/>
  <c r="G74" i="4"/>
  <c r="H74" i="4"/>
  <c r="I74" i="4"/>
  <c r="J74" i="4"/>
  <c r="L74" i="4"/>
  <c r="M74" i="4"/>
  <c r="N74" i="4"/>
  <c r="O74" i="4"/>
  <c r="P74" i="4"/>
  <c r="Q74" i="4"/>
  <c r="R74" i="4"/>
  <c r="S74" i="4"/>
  <c r="C75" i="4"/>
  <c r="D75" i="4"/>
  <c r="E75" i="4"/>
  <c r="F75" i="4"/>
  <c r="G75" i="4"/>
  <c r="H75" i="4"/>
  <c r="I75" i="4"/>
  <c r="J75" i="4"/>
  <c r="L75" i="4"/>
  <c r="M75" i="4"/>
  <c r="N75" i="4"/>
  <c r="O75" i="4"/>
  <c r="P75" i="4"/>
  <c r="Q75" i="4"/>
  <c r="R75" i="4"/>
  <c r="S75" i="4"/>
  <c r="C76" i="4"/>
  <c r="D76" i="4"/>
  <c r="E76" i="4"/>
  <c r="F76" i="4"/>
  <c r="G76" i="4"/>
  <c r="H76" i="4"/>
  <c r="I76" i="4"/>
  <c r="J76" i="4"/>
  <c r="L76" i="4"/>
  <c r="M76" i="4"/>
  <c r="N76" i="4"/>
  <c r="O76" i="4"/>
  <c r="P76" i="4"/>
  <c r="Q76" i="4"/>
  <c r="R76" i="4"/>
  <c r="S76" i="4"/>
  <c r="C77" i="4"/>
  <c r="D77" i="4"/>
  <c r="E77" i="4"/>
  <c r="F77" i="4"/>
  <c r="G77" i="4"/>
  <c r="H77" i="4"/>
  <c r="I77" i="4"/>
  <c r="J77" i="4"/>
  <c r="L77" i="4"/>
  <c r="M77" i="4"/>
  <c r="N77" i="4"/>
  <c r="O77" i="4"/>
  <c r="P77" i="4"/>
  <c r="Q77" i="4"/>
  <c r="R77" i="4"/>
  <c r="S77" i="4"/>
  <c r="C78" i="4"/>
  <c r="D78" i="4"/>
  <c r="E78" i="4"/>
  <c r="F78" i="4"/>
  <c r="G78" i="4"/>
  <c r="H78" i="4"/>
  <c r="I78" i="4"/>
  <c r="J78" i="4"/>
  <c r="L78" i="4"/>
  <c r="M78" i="4"/>
  <c r="N78" i="4"/>
  <c r="O78" i="4"/>
  <c r="P78" i="4"/>
  <c r="Q78" i="4"/>
  <c r="R78" i="4"/>
  <c r="S78" i="4"/>
  <c r="C79" i="4"/>
  <c r="D79" i="4"/>
  <c r="E79" i="4"/>
  <c r="F79" i="4"/>
  <c r="G79" i="4"/>
  <c r="H79" i="4"/>
  <c r="I79" i="4"/>
  <c r="J79" i="4"/>
  <c r="L79" i="4"/>
  <c r="M79" i="4"/>
  <c r="N79" i="4"/>
  <c r="O79" i="4"/>
  <c r="P79" i="4"/>
  <c r="Q79" i="4"/>
  <c r="R79" i="4"/>
  <c r="S79" i="4"/>
  <c r="C80" i="4"/>
  <c r="D80" i="4"/>
  <c r="E80" i="4"/>
  <c r="F80" i="4"/>
  <c r="G80" i="4"/>
  <c r="H80" i="4"/>
  <c r="I80" i="4"/>
  <c r="J80" i="4"/>
  <c r="L80" i="4"/>
  <c r="M80" i="4"/>
  <c r="N80" i="4"/>
  <c r="O80" i="4"/>
  <c r="P80" i="4"/>
  <c r="Q80" i="4"/>
  <c r="R80" i="4"/>
  <c r="S80" i="4"/>
  <c r="C81" i="4"/>
  <c r="D81" i="4"/>
  <c r="E81" i="4"/>
  <c r="F81" i="4"/>
  <c r="G81" i="4"/>
  <c r="H81" i="4"/>
  <c r="I81" i="4"/>
  <c r="J81" i="4"/>
  <c r="L81" i="4"/>
  <c r="M81" i="4"/>
  <c r="N81" i="4"/>
  <c r="O81" i="4"/>
  <c r="P81" i="4"/>
  <c r="Q81" i="4"/>
  <c r="R81" i="4"/>
  <c r="S81" i="4"/>
  <c r="C82" i="4"/>
  <c r="D82" i="4"/>
  <c r="E82" i="4"/>
  <c r="F82" i="4"/>
  <c r="G82" i="4"/>
  <c r="H82" i="4"/>
  <c r="I82" i="4"/>
  <c r="J82" i="4"/>
  <c r="L82" i="4"/>
  <c r="M82" i="4"/>
  <c r="N82" i="4"/>
  <c r="O82" i="4"/>
  <c r="P82" i="4"/>
  <c r="Q82" i="4"/>
  <c r="R82" i="4"/>
  <c r="S82" i="4"/>
  <c r="C83" i="4"/>
  <c r="D83" i="4"/>
  <c r="E83" i="4"/>
  <c r="F83" i="4"/>
  <c r="G83" i="4"/>
  <c r="H83" i="4"/>
  <c r="I83" i="4"/>
  <c r="J83" i="4"/>
  <c r="L83" i="4"/>
  <c r="M83" i="4"/>
  <c r="N83" i="4"/>
  <c r="O83" i="4"/>
  <c r="P83" i="4"/>
  <c r="Q83" i="4"/>
  <c r="R83" i="4"/>
  <c r="S83" i="4"/>
  <c r="C84" i="4"/>
  <c r="D84" i="4"/>
  <c r="E84" i="4"/>
  <c r="F84" i="4"/>
  <c r="G84" i="4"/>
  <c r="H84" i="4"/>
  <c r="I84" i="4"/>
  <c r="J84" i="4"/>
  <c r="L84" i="4"/>
  <c r="M84" i="4"/>
  <c r="N84" i="4"/>
  <c r="O84" i="4"/>
  <c r="P84" i="4"/>
  <c r="Q84" i="4"/>
  <c r="R84" i="4"/>
  <c r="S84" i="4"/>
  <c r="C85" i="4"/>
  <c r="D85" i="4"/>
  <c r="E85" i="4"/>
  <c r="F85" i="4"/>
  <c r="G85" i="4"/>
  <c r="H85" i="4"/>
  <c r="I85" i="4"/>
  <c r="J85" i="4"/>
  <c r="L85" i="4"/>
  <c r="M85" i="4"/>
  <c r="N85" i="4"/>
  <c r="O85" i="4"/>
  <c r="P85" i="4"/>
  <c r="Q85" i="4"/>
  <c r="R85" i="4"/>
  <c r="S85" i="4"/>
  <c r="C86" i="4"/>
  <c r="D86" i="4"/>
  <c r="E86" i="4"/>
  <c r="F86" i="4"/>
  <c r="G86" i="4"/>
  <c r="H86" i="4"/>
  <c r="I86" i="4"/>
  <c r="J86" i="4"/>
  <c r="L86" i="4"/>
  <c r="M86" i="4"/>
  <c r="N86" i="4"/>
  <c r="O86" i="4"/>
  <c r="P86" i="4"/>
  <c r="Q86" i="4"/>
  <c r="R86" i="4"/>
  <c r="S86" i="4"/>
  <c r="C87" i="4"/>
  <c r="D87" i="4"/>
  <c r="E87" i="4"/>
  <c r="F87" i="4"/>
  <c r="G87" i="4"/>
  <c r="H87" i="4"/>
  <c r="I87" i="4"/>
  <c r="J87" i="4"/>
  <c r="L87" i="4"/>
  <c r="M87" i="4"/>
  <c r="N87" i="4"/>
  <c r="O87" i="4"/>
  <c r="P87" i="4"/>
  <c r="Q87" i="4"/>
  <c r="R87" i="4"/>
  <c r="S87" i="4"/>
  <c r="C88" i="4"/>
  <c r="D88" i="4"/>
  <c r="E88" i="4"/>
  <c r="F88" i="4"/>
  <c r="G88" i="4"/>
  <c r="H88" i="4"/>
  <c r="I88" i="4"/>
  <c r="J88" i="4"/>
  <c r="L88" i="4"/>
  <c r="M88" i="4"/>
  <c r="N88" i="4"/>
  <c r="O88" i="4"/>
  <c r="P88" i="4"/>
  <c r="Q88" i="4"/>
  <c r="R88" i="4"/>
  <c r="S88" i="4"/>
  <c r="C89" i="4"/>
  <c r="D89" i="4"/>
  <c r="E89" i="4"/>
  <c r="F89" i="4"/>
  <c r="G89" i="4"/>
  <c r="H89" i="4"/>
  <c r="I89" i="4"/>
  <c r="J89" i="4"/>
  <c r="L89" i="4"/>
  <c r="M89" i="4"/>
  <c r="N89" i="4"/>
  <c r="O89" i="4"/>
  <c r="P89" i="4"/>
  <c r="Q89" i="4"/>
  <c r="R89" i="4"/>
  <c r="S89" i="4"/>
  <c r="C90" i="4"/>
  <c r="D90" i="4"/>
  <c r="E90" i="4"/>
  <c r="F90" i="4"/>
  <c r="G90" i="4"/>
  <c r="H90" i="4"/>
  <c r="I90" i="4"/>
  <c r="J90" i="4"/>
  <c r="L90" i="4"/>
  <c r="M90" i="4"/>
  <c r="N90" i="4"/>
  <c r="O90" i="4"/>
  <c r="P90" i="4"/>
  <c r="Q90" i="4"/>
  <c r="R90" i="4"/>
  <c r="S90" i="4"/>
  <c r="C91" i="4"/>
  <c r="D91" i="4"/>
  <c r="E91" i="4"/>
  <c r="F91" i="4"/>
  <c r="G91" i="4"/>
  <c r="H91" i="4"/>
  <c r="I91" i="4"/>
  <c r="J91" i="4"/>
  <c r="L91" i="4"/>
  <c r="M91" i="4"/>
  <c r="N91" i="4"/>
  <c r="O91" i="4"/>
  <c r="P91" i="4"/>
  <c r="Q91" i="4"/>
  <c r="R91" i="4"/>
  <c r="S91" i="4"/>
  <c r="C92" i="4"/>
  <c r="D92" i="4"/>
  <c r="E92" i="4"/>
  <c r="F92" i="4"/>
  <c r="G92" i="4"/>
  <c r="H92" i="4"/>
  <c r="I92" i="4"/>
  <c r="J92" i="4"/>
  <c r="L92" i="4"/>
  <c r="M92" i="4"/>
  <c r="N92" i="4"/>
  <c r="O92" i="4"/>
  <c r="P92" i="4"/>
  <c r="Q92" i="4"/>
  <c r="R92" i="4"/>
  <c r="S92" i="4"/>
  <c r="C93" i="4"/>
  <c r="D93" i="4"/>
  <c r="E93" i="4"/>
  <c r="F93" i="4"/>
  <c r="G93" i="4"/>
  <c r="H93" i="4"/>
  <c r="I93" i="4"/>
  <c r="J93" i="4"/>
  <c r="L93" i="4"/>
  <c r="M93" i="4"/>
  <c r="N93" i="4"/>
  <c r="O93" i="4"/>
  <c r="P93" i="4"/>
  <c r="Q93" i="4"/>
  <c r="R93" i="4"/>
  <c r="S93" i="4"/>
  <c r="C94" i="4"/>
  <c r="D94" i="4"/>
  <c r="E94" i="4"/>
  <c r="F94" i="4"/>
  <c r="G94" i="4"/>
  <c r="H94" i="4"/>
  <c r="I94" i="4"/>
  <c r="J94" i="4"/>
  <c r="L94" i="4"/>
  <c r="M94" i="4"/>
  <c r="N94" i="4"/>
  <c r="O94" i="4"/>
  <c r="P94" i="4"/>
  <c r="Q94" i="4"/>
  <c r="R94" i="4"/>
  <c r="S94" i="4"/>
  <c r="C95" i="4"/>
  <c r="D95" i="4"/>
  <c r="E95" i="4"/>
  <c r="F95" i="4"/>
  <c r="G95" i="4"/>
  <c r="H95" i="4"/>
  <c r="I95" i="4"/>
  <c r="J95" i="4"/>
  <c r="L95" i="4"/>
  <c r="M95" i="4"/>
  <c r="N95" i="4"/>
  <c r="O95" i="4"/>
  <c r="P95" i="4"/>
  <c r="Q95" i="4"/>
  <c r="R95" i="4"/>
  <c r="S95" i="4"/>
  <c r="C96" i="4"/>
  <c r="D96" i="4"/>
  <c r="E96" i="4"/>
  <c r="F96" i="4"/>
  <c r="G96" i="4"/>
  <c r="H96" i="4"/>
  <c r="I96" i="4"/>
  <c r="J96" i="4"/>
  <c r="L96" i="4"/>
  <c r="M96" i="4"/>
  <c r="N96" i="4"/>
  <c r="O96" i="4"/>
  <c r="P96" i="4"/>
  <c r="Q96" i="4"/>
  <c r="R96" i="4"/>
  <c r="S96" i="4"/>
  <c r="C97" i="4"/>
  <c r="D97" i="4"/>
  <c r="E97" i="4"/>
  <c r="F97" i="4"/>
  <c r="G97" i="4"/>
  <c r="H97" i="4"/>
  <c r="I97" i="4"/>
  <c r="J97" i="4"/>
  <c r="L97" i="4"/>
  <c r="M97" i="4"/>
  <c r="N97" i="4"/>
  <c r="O97" i="4"/>
  <c r="P97" i="4"/>
  <c r="Q97" i="4"/>
  <c r="R97" i="4"/>
  <c r="S97" i="4"/>
  <c r="C98" i="4"/>
  <c r="D98" i="4"/>
  <c r="E98" i="4"/>
  <c r="F98" i="4"/>
  <c r="G98" i="4"/>
  <c r="H98" i="4"/>
  <c r="I98" i="4"/>
  <c r="J98" i="4"/>
  <c r="L98" i="4"/>
  <c r="M98" i="4"/>
  <c r="N98" i="4"/>
  <c r="O98" i="4"/>
  <c r="P98" i="4"/>
  <c r="Q98" i="4"/>
  <c r="R98" i="4"/>
  <c r="S98" i="4"/>
  <c r="C99" i="4"/>
  <c r="D99" i="4"/>
  <c r="E99" i="4"/>
  <c r="F99" i="4"/>
  <c r="G99" i="4"/>
  <c r="H99" i="4"/>
  <c r="I99" i="4"/>
  <c r="J99" i="4"/>
  <c r="L99" i="4"/>
  <c r="M99" i="4"/>
  <c r="N99" i="4"/>
  <c r="O99" i="4"/>
  <c r="P99" i="4"/>
  <c r="Q99" i="4"/>
  <c r="R99" i="4"/>
  <c r="S99" i="4"/>
  <c r="C100" i="4"/>
  <c r="D100" i="4"/>
  <c r="E100" i="4"/>
  <c r="F100" i="4"/>
  <c r="G100" i="4"/>
  <c r="H100" i="4"/>
  <c r="I100" i="4"/>
  <c r="J100" i="4"/>
  <c r="L100" i="4"/>
  <c r="M100" i="4"/>
  <c r="N100" i="4"/>
  <c r="O100" i="4"/>
  <c r="P100" i="4"/>
  <c r="Q100" i="4"/>
  <c r="R100" i="4"/>
  <c r="S100" i="4"/>
  <c r="C101" i="4"/>
  <c r="D101" i="4"/>
  <c r="E101" i="4"/>
  <c r="F101" i="4"/>
  <c r="G101" i="4"/>
  <c r="H101" i="4"/>
  <c r="I101" i="4"/>
  <c r="J101" i="4"/>
  <c r="L101" i="4"/>
  <c r="M101" i="4"/>
  <c r="N101" i="4"/>
  <c r="O101" i="4"/>
  <c r="P101" i="4"/>
  <c r="Q101" i="4"/>
  <c r="R101" i="4"/>
  <c r="S101" i="4"/>
  <c r="C102" i="4"/>
  <c r="D102" i="4"/>
  <c r="E102" i="4"/>
  <c r="F102" i="4"/>
  <c r="G102" i="4"/>
  <c r="H102" i="4"/>
  <c r="I102" i="4"/>
  <c r="J102" i="4"/>
  <c r="L102" i="4"/>
  <c r="M102" i="4"/>
  <c r="N102" i="4"/>
  <c r="O102" i="4"/>
  <c r="P102" i="4"/>
  <c r="Q102" i="4"/>
  <c r="R102" i="4"/>
  <c r="S102" i="4"/>
  <c r="C103" i="4"/>
  <c r="D103" i="4"/>
  <c r="E103" i="4"/>
  <c r="F103" i="4"/>
  <c r="G103" i="4"/>
  <c r="H103" i="4"/>
  <c r="I103" i="4"/>
  <c r="J103" i="4"/>
  <c r="L103" i="4"/>
  <c r="M103" i="4"/>
  <c r="N103" i="4"/>
  <c r="O103" i="4"/>
  <c r="P103" i="4"/>
  <c r="Q103" i="4"/>
  <c r="R103" i="4"/>
  <c r="S103" i="4"/>
  <c r="C104" i="4"/>
  <c r="D104" i="4"/>
  <c r="E104" i="4"/>
  <c r="F104" i="4"/>
  <c r="G104" i="4"/>
  <c r="H104" i="4"/>
  <c r="I104" i="4"/>
  <c r="J104" i="4"/>
  <c r="L104" i="4"/>
  <c r="M104" i="4"/>
  <c r="N104" i="4"/>
  <c r="O104" i="4"/>
  <c r="P104" i="4"/>
  <c r="Q104" i="4"/>
  <c r="R104" i="4"/>
  <c r="S104" i="4"/>
  <c r="C105" i="4"/>
  <c r="D105" i="4"/>
  <c r="E105" i="4"/>
  <c r="F105" i="4"/>
  <c r="G105" i="4"/>
  <c r="H105" i="4"/>
  <c r="I105" i="4"/>
  <c r="J105" i="4"/>
  <c r="L105" i="4"/>
  <c r="M105" i="4"/>
  <c r="N105" i="4"/>
  <c r="O105" i="4"/>
  <c r="P105" i="4"/>
  <c r="Q105" i="4"/>
  <c r="R105" i="4"/>
  <c r="S105" i="4"/>
  <c r="C106" i="4"/>
  <c r="D106" i="4"/>
  <c r="E106" i="4"/>
  <c r="F106" i="4"/>
  <c r="G106" i="4"/>
  <c r="H106" i="4"/>
  <c r="I106" i="4"/>
  <c r="J106" i="4"/>
  <c r="L106" i="4"/>
  <c r="M106" i="4"/>
  <c r="N106" i="4"/>
  <c r="O106" i="4"/>
  <c r="P106" i="4"/>
  <c r="Q106" i="4"/>
  <c r="R106" i="4"/>
  <c r="S106" i="4"/>
  <c r="C107" i="4"/>
  <c r="D107" i="4"/>
  <c r="E107" i="4"/>
  <c r="F107" i="4"/>
  <c r="G107" i="4"/>
  <c r="H107" i="4"/>
  <c r="I107" i="4"/>
  <c r="J107" i="4"/>
  <c r="L107" i="4"/>
  <c r="M107" i="4"/>
  <c r="N107" i="4"/>
  <c r="O107" i="4"/>
  <c r="P107" i="4"/>
  <c r="Q107" i="4"/>
  <c r="R107" i="4"/>
  <c r="S107" i="4"/>
  <c r="C108" i="4"/>
  <c r="D108" i="4"/>
  <c r="E108" i="4"/>
  <c r="F108" i="4"/>
  <c r="G108" i="4"/>
  <c r="H108" i="4"/>
  <c r="I108" i="4"/>
  <c r="J108" i="4"/>
  <c r="L108" i="4"/>
  <c r="M108" i="4"/>
  <c r="N108" i="4"/>
  <c r="O108" i="4"/>
  <c r="P108" i="4"/>
  <c r="Q108" i="4"/>
  <c r="R108" i="4"/>
  <c r="S108" i="4"/>
  <c r="C109" i="4"/>
  <c r="D109" i="4"/>
  <c r="E109" i="4"/>
  <c r="F109" i="4"/>
  <c r="G109" i="4"/>
  <c r="H109" i="4"/>
  <c r="I109" i="4"/>
  <c r="J109" i="4"/>
  <c r="L109" i="4"/>
  <c r="M109" i="4"/>
  <c r="N109" i="4"/>
  <c r="O109" i="4"/>
  <c r="P109" i="4"/>
  <c r="Q109" i="4"/>
  <c r="R109" i="4"/>
  <c r="S109" i="4"/>
  <c r="C110" i="4"/>
  <c r="D110" i="4"/>
  <c r="E110" i="4"/>
  <c r="F110" i="4"/>
  <c r="G110" i="4"/>
  <c r="H110" i="4"/>
  <c r="I110" i="4"/>
  <c r="J110" i="4"/>
  <c r="L110" i="4"/>
  <c r="M110" i="4"/>
  <c r="N110" i="4"/>
  <c r="O110" i="4"/>
  <c r="P110" i="4"/>
  <c r="Q110" i="4"/>
  <c r="R110" i="4"/>
  <c r="S110" i="4"/>
  <c r="C111" i="4"/>
  <c r="D111" i="4"/>
  <c r="E111" i="4"/>
  <c r="F111" i="4"/>
  <c r="G111" i="4"/>
  <c r="H111" i="4"/>
  <c r="I111" i="4"/>
  <c r="J111" i="4"/>
  <c r="L111" i="4"/>
  <c r="M111" i="4"/>
  <c r="N111" i="4"/>
  <c r="O111" i="4"/>
  <c r="P111" i="4"/>
  <c r="Q111" i="4"/>
  <c r="R111" i="4"/>
  <c r="S111" i="4"/>
  <c r="C112" i="4"/>
  <c r="D112" i="4"/>
  <c r="E112" i="4"/>
  <c r="F112" i="4"/>
  <c r="G112" i="4"/>
  <c r="H112" i="4"/>
  <c r="I112" i="4"/>
  <c r="J112" i="4"/>
  <c r="L112" i="4"/>
  <c r="M112" i="4"/>
  <c r="N112" i="4"/>
  <c r="O112" i="4"/>
  <c r="P112" i="4"/>
  <c r="Q112" i="4"/>
  <c r="R112" i="4"/>
  <c r="S112" i="4"/>
  <c r="C113" i="4"/>
  <c r="D113" i="4"/>
  <c r="E113" i="4"/>
  <c r="F113" i="4"/>
  <c r="G113" i="4"/>
  <c r="H113" i="4"/>
  <c r="I113" i="4"/>
  <c r="J113" i="4"/>
  <c r="L113" i="4"/>
  <c r="M113" i="4"/>
  <c r="N113" i="4"/>
  <c r="O113" i="4"/>
  <c r="P113" i="4"/>
  <c r="Q113" i="4"/>
  <c r="R113" i="4"/>
  <c r="S113" i="4"/>
  <c r="C114" i="4"/>
  <c r="D114" i="4"/>
  <c r="E114" i="4"/>
  <c r="F114" i="4"/>
  <c r="G114" i="4"/>
  <c r="H114" i="4"/>
  <c r="I114" i="4"/>
  <c r="J114" i="4"/>
  <c r="L114" i="4"/>
  <c r="M114" i="4"/>
  <c r="N114" i="4"/>
  <c r="O114" i="4"/>
  <c r="P114" i="4"/>
  <c r="Q114" i="4"/>
  <c r="R114" i="4"/>
  <c r="S114" i="4"/>
  <c r="C115" i="4"/>
  <c r="D115" i="4"/>
  <c r="E115" i="4"/>
  <c r="F115" i="4"/>
  <c r="G115" i="4"/>
  <c r="H115" i="4"/>
  <c r="I115" i="4"/>
  <c r="J115" i="4"/>
  <c r="L115" i="4"/>
  <c r="M115" i="4"/>
  <c r="N115" i="4"/>
  <c r="O115" i="4"/>
  <c r="P115" i="4"/>
  <c r="Q115" i="4"/>
  <c r="R115" i="4"/>
  <c r="S115" i="4"/>
  <c r="C116" i="4"/>
  <c r="D116" i="4"/>
  <c r="E116" i="4"/>
  <c r="F116" i="4"/>
  <c r="G116" i="4"/>
  <c r="H116" i="4"/>
  <c r="I116" i="4"/>
  <c r="J116" i="4"/>
  <c r="L116" i="4"/>
  <c r="M116" i="4"/>
  <c r="N116" i="4"/>
  <c r="O116" i="4"/>
  <c r="P116" i="4"/>
  <c r="Q116" i="4"/>
  <c r="R116" i="4"/>
  <c r="S116" i="4"/>
  <c r="C117" i="4"/>
  <c r="D117" i="4"/>
  <c r="E117" i="4"/>
  <c r="F117" i="4"/>
  <c r="G117" i="4"/>
  <c r="H117" i="4"/>
  <c r="I117" i="4"/>
  <c r="J117" i="4"/>
  <c r="L117" i="4"/>
  <c r="M117" i="4"/>
  <c r="N117" i="4"/>
  <c r="O117" i="4"/>
  <c r="P117" i="4"/>
  <c r="Q117" i="4"/>
  <c r="R117" i="4"/>
  <c r="S117" i="4"/>
  <c r="C118" i="4"/>
  <c r="D118" i="4"/>
  <c r="E118" i="4"/>
  <c r="F118" i="4"/>
  <c r="G118" i="4"/>
  <c r="H118" i="4"/>
  <c r="I118" i="4"/>
  <c r="J118" i="4"/>
  <c r="L118" i="4"/>
  <c r="M118" i="4"/>
  <c r="N118" i="4"/>
  <c r="O118" i="4"/>
  <c r="P118" i="4"/>
  <c r="Q118" i="4"/>
  <c r="R118" i="4"/>
  <c r="S118" i="4"/>
  <c r="C119" i="4"/>
  <c r="D119" i="4"/>
  <c r="E119" i="4"/>
  <c r="F119" i="4"/>
  <c r="G119" i="4"/>
  <c r="H119" i="4"/>
  <c r="I119" i="4"/>
  <c r="J119" i="4"/>
  <c r="L119" i="4"/>
  <c r="M119" i="4"/>
  <c r="N119" i="4"/>
  <c r="O119" i="4"/>
  <c r="P119" i="4"/>
  <c r="Q119" i="4"/>
  <c r="R119" i="4"/>
  <c r="S119" i="4"/>
  <c r="C120" i="4"/>
  <c r="D120" i="4"/>
  <c r="E120" i="4"/>
  <c r="F120" i="4"/>
  <c r="G120" i="4"/>
  <c r="H120" i="4"/>
  <c r="I120" i="4"/>
  <c r="J120" i="4"/>
  <c r="L120" i="4"/>
  <c r="M120" i="4"/>
  <c r="N120" i="4"/>
  <c r="O120" i="4"/>
  <c r="P120" i="4"/>
  <c r="Q120" i="4"/>
  <c r="R120" i="4"/>
  <c r="S120" i="4"/>
  <c r="C121" i="4"/>
  <c r="D121" i="4"/>
  <c r="E121" i="4"/>
  <c r="F121" i="4"/>
  <c r="G121" i="4"/>
  <c r="H121" i="4"/>
  <c r="I121" i="4"/>
  <c r="J121" i="4"/>
  <c r="L121" i="4"/>
  <c r="M121" i="4"/>
  <c r="N121" i="4"/>
  <c r="O121" i="4"/>
  <c r="P121" i="4"/>
  <c r="Q121" i="4"/>
  <c r="R121" i="4"/>
  <c r="S121" i="4"/>
  <c r="C122" i="4"/>
  <c r="D122" i="4"/>
  <c r="E122" i="4"/>
  <c r="F122" i="4"/>
  <c r="G122" i="4"/>
  <c r="H122" i="4"/>
  <c r="I122" i="4"/>
  <c r="J122" i="4"/>
  <c r="L122" i="4"/>
  <c r="M122" i="4"/>
  <c r="N122" i="4"/>
  <c r="O122" i="4"/>
  <c r="P122" i="4"/>
  <c r="Q122" i="4"/>
  <c r="R122" i="4"/>
  <c r="S122" i="4"/>
  <c r="C123" i="4"/>
  <c r="D123" i="4"/>
  <c r="E123" i="4"/>
  <c r="F123" i="4"/>
  <c r="G123" i="4"/>
  <c r="H123" i="4"/>
  <c r="I123" i="4"/>
  <c r="J123" i="4"/>
  <c r="L123" i="4"/>
  <c r="M123" i="4"/>
  <c r="N123" i="4"/>
  <c r="O123" i="4"/>
  <c r="P123" i="4"/>
  <c r="Q123" i="4"/>
  <c r="R123" i="4"/>
  <c r="S123" i="4"/>
  <c r="C124" i="4"/>
  <c r="D124" i="4"/>
  <c r="E124" i="4"/>
  <c r="F124" i="4"/>
  <c r="G124" i="4"/>
  <c r="H124" i="4"/>
  <c r="I124" i="4"/>
  <c r="J124" i="4"/>
  <c r="L124" i="4"/>
  <c r="M124" i="4"/>
  <c r="N124" i="4"/>
  <c r="O124" i="4"/>
  <c r="P124" i="4"/>
  <c r="Q124" i="4"/>
  <c r="R124" i="4"/>
  <c r="S124" i="4"/>
  <c r="C125" i="4"/>
  <c r="D125" i="4"/>
  <c r="E125" i="4"/>
  <c r="F125" i="4"/>
  <c r="G125" i="4"/>
  <c r="H125" i="4"/>
  <c r="I125" i="4"/>
  <c r="J125" i="4"/>
  <c r="L125" i="4"/>
  <c r="M125" i="4"/>
  <c r="N125" i="4"/>
  <c r="O125" i="4"/>
  <c r="P125" i="4"/>
  <c r="Q125" i="4"/>
  <c r="R125" i="4"/>
  <c r="S125" i="4"/>
  <c r="C126" i="4"/>
  <c r="D126" i="4"/>
  <c r="E126" i="4"/>
  <c r="F126" i="4"/>
  <c r="G126" i="4"/>
  <c r="H126" i="4"/>
  <c r="I126" i="4"/>
  <c r="J126" i="4"/>
  <c r="L126" i="4"/>
  <c r="M126" i="4"/>
  <c r="N126" i="4"/>
  <c r="O126" i="4"/>
  <c r="P126" i="4"/>
  <c r="Q126" i="4"/>
  <c r="R126" i="4"/>
  <c r="S126" i="4"/>
  <c r="C127" i="4"/>
  <c r="D127" i="4"/>
  <c r="E127" i="4"/>
  <c r="F127" i="4"/>
  <c r="G127" i="4"/>
  <c r="H127" i="4"/>
  <c r="I127" i="4"/>
  <c r="J127" i="4"/>
  <c r="L127" i="4"/>
  <c r="M127" i="4"/>
  <c r="N127" i="4"/>
  <c r="O127" i="4"/>
  <c r="P127" i="4"/>
  <c r="Q127" i="4"/>
  <c r="R127" i="4"/>
  <c r="S127" i="4"/>
  <c r="C128" i="4"/>
  <c r="D128" i="4"/>
  <c r="E128" i="4"/>
  <c r="F128" i="4"/>
  <c r="G128" i="4"/>
  <c r="H128" i="4"/>
  <c r="I128" i="4"/>
  <c r="J128" i="4"/>
  <c r="L128" i="4"/>
  <c r="M128" i="4"/>
  <c r="N128" i="4"/>
  <c r="O128" i="4"/>
  <c r="P128" i="4"/>
  <c r="Q128" i="4"/>
  <c r="R128" i="4"/>
  <c r="S128" i="4"/>
  <c r="C129" i="4"/>
  <c r="D129" i="4"/>
  <c r="E129" i="4"/>
  <c r="F129" i="4"/>
  <c r="G129" i="4"/>
  <c r="H129" i="4"/>
  <c r="I129" i="4"/>
  <c r="J129" i="4"/>
  <c r="L129" i="4"/>
  <c r="M129" i="4"/>
  <c r="N129" i="4"/>
  <c r="O129" i="4"/>
  <c r="P129" i="4"/>
  <c r="Q129" i="4"/>
  <c r="R129" i="4"/>
  <c r="S129" i="4"/>
  <c r="C130" i="4"/>
  <c r="D130" i="4"/>
  <c r="E130" i="4"/>
  <c r="F130" i="4"/>
  <c r="G130" i="4"/>
  <c r="H130" i="4"/>
  <c r="I130" i="4"/>
  <c r="J130" i="4"/>
  <c r="L130" i="4"/>
  <c r="M130" i="4"/>
  <c r="N130" i="4"/>
  <c r="O130" i="4"/>
  <c r="P130" i="4"/>
  <c r="Q130" i="4"/>
  <c r="R130" i="4"/>
  <c r="S130" i="4"/>
  <c r="C131" i="4"/>
  <c r="D131" i="4"/>
  <c r="E131" i="4"/>
  <c r="F131" i="4"/>
  <c r="G131" i="4"/>
  <c r="H131" i="4"/>
  <c r="I131" i="4"/>
  <c r="J131" i="4"/>
  <c r="L131" i="4"/>
  <c r="M131" i="4"/>
  <c r="N131" i="4"/>
  <c r="O131" i="4"/>
  <c r="P131" i="4"/>
  <c r="Q131" i="4"/>
  <c r="R131" i="4"/>
  <c r="S131" i="4"/>
  <c r="C132" i="4"/>
  <c r="D132" i="4"/>
  <c r="E132" i="4"/>
  <c r="F132" i="4"/>
  <c r="G132" i="4"/>
  <c r="H132" i="4"/>
  <c r="I132" i="4"/>
  <c r="J132" i="4"/>
  <c r="L132" i="4"/>
  <c r="M132" i="4"/>
  <c r="N132" i="4"/>
  <c r="O132" i="4"/>
  <c r="P132" i="4"/>
  <c r="Q132" i="4"/>
  <c r="R132" i="4"/>
  <c r="S132" i="4"/>
  <c r="C133" i="4"/>
  <c r="D133" i="4"/>
  <c r="E133" i="4"/>
  <c r="F133" i="4"/>
  <c r="G133" i="4"/>
  <c r="H133" i="4"/>
  <c r="I133" i="4"/>
  <c r="J133" i="4"/>
  <c r="L133" i="4"/>
  <c r="M133" i="4"/>
  <c r="N133" i="4"/>
  <c r="O133" i="4"/>
  <c r="P133" i="4"/>
  <c r="Q133" i="4"/>
  <c r="R133" i="4"/>
  <c r="S133" i="4"/>
  <c r="C134" i="4"/>
  <c r="D134" i="4"/>
  <c r="E134" i="4"/>
  <c r="F134" i="4"/>
  <c r="G134" i="4"/>
  <c r="H134" i="4"/>
  <c r="I134" i="4"/>
  <c r="J134" i="4"/>
  <c r="L134" i="4"/>
  <c r="M134" i="4"/>
  <c r="N134" i="4"/>
  <c r="O134" i="4"/>
  <c r="P134" i="4"/>
  <c r="Q134" i="4"/>
  <c r="R134" i="4"/>
  <c r="S134" i="4"/>
  <c r="C135" i="4"/>
  <c r="D135" i="4"/>
  <c r="E135" i="4"/>
  <c r="F135" i="4"/>
  <c r="G135" i="4"/>
  <c r="H135" i="4"/>
  <c r="I135" i="4"/>
  <c r="J135" i="4"/>
  <c r="L135" i="4"/>
  <c r="M135" i="4"/>
  <c r="N135" i="4"/>
  <c r="O135" i="4"/>
  <c r="P135" i="4"/>
  <c r="Q135" i="4"/>
  <c r="R135" i="4"/>
  <c r="S135" i="4"/>
  <c r="C136" i="4"/>
  <c r="D136" i="4"/>
  <c r="E136" i="4"/>
  <c r="F136" i="4"/>
  <c r="G136" i="4"/>
  <c r="H136" i="4"/>
  <c r="I136" i="4"/>
  <c r="J136" i="4"/>
  <c r="L136" i="4"/>
  <c r="M136" i="4"/>
  <c r="N136" i="4"/>
  <c r="O136" i="4"/>
  <c r="P136" i="4"/>
  <c r="Q136" i="4"/>
  <c r="R136" i="4"/>
  <c r="S136" i="4"/>
  <c r="C137" i="4"/>
  <c r="D137" i="4"/>
  <c r="E137" i="4"/>
  <c r="F137" i="4"/>
  <c r="G137" i="4"/>
  <c r="H137" i="4"/>
  <c r="I137" i="4"/>
  <c r="J137" i="4"/>
  <c r="L137" i="4"/>
  <c r="M137" i="4"/>
  <c r="N137" i="4"/>
  <c r="O137" i="4"/>
  <c r="P137" i="4"/>
  <c r="Q137" i="4"/>
  <c r="R137" i="4"/>
  <c r="S137" i="4"/>
  <c r="C138" i="4"/>
  <c r="D138" i="4"/>
  <c r="E138" i="4"/>
  <c r="F138" i="4"/>
  <c r="G138" i="4"/>
  <c r="H138" i="4"/>
  <c r="I138" i="4"/>
  <c r="J138" i="4"/>
  <c r="L138" i="4"/>
  <c r="M138" i="4"/>
  <c r="N138" i="4"/>
  <c r="O138" i="4"/>
  <c r="P138" i="4"/>
  <c r="Q138" i="4"/>
  <c r="R138" i="4"/>
  <c r="S138" i="4"/>
  <c r="C139" i="4"/>
  <c r="D139" i="4"/>
  <c r="E139" i="4"/>
  <c r="F139" i="4"/>
  <c r="G139" i="4"/>
  <c r="H139" i="4"/>
  <c r="I139" i="4"/>
  <c r="J139" i="4"/>
  <c r="L139" i="4"/>
  <c r="M139" i="4"/>
  <c r="N139" i="4"/>
  <c r="O139" i="4"/>
  <c r="P139" i="4"/>
  <c r="Q139" i="4"/>
  <c r="R139" i="4"/>
  <c r="S139" i="4"/>
  <c r="C140" i="4"/>
  <c r="D140" i="4"/>
  <c r="E140" i="4"/>
  <c r="F140" i="4"/>
  <c r="G140" i="4"/>
  <c r="H140" i="4"/>
  <c r="I140" i="4"/>
  <c r="J140" i="4"/>
  <c r="L140" i="4"/>
  <c r="M140" i="4"/>
  <c r="N140" i="4"/>
  <c r="O140" i="4"/>
  <c r="P140" i="4"/>
  <c r="Q140" i="4"/>
  <c r="R140" i="4"/>
  <c r="S140" i="4"/>
  <c r="C141" i="4"/>
  <c r="D141" i="4"/>
  <c r="E141" i="4"/>
  <c r="F141" i="4"/>
  <c r="G141" i="4"/>
  <c r="H141" i="4"/>
  <c r="I141" i="4"/>
  <c r="J141" i="4"/>
  <c r="L141" i="4"/>
  <c r="M141" i="4"/>
  <c r="N141" i="4"/>
  <c r="O141" i="4"/>
  <c r="P141" i="4"/>
  <c r="Q141" i="4"/>
  <c r="R141" i="4"/>
  <c r="S141" i="4"/>
  <c r="C142" i="4"/>
  <c r="D142" i="4"/>
  <c r="E142" i="4"/>
  <c r="F142" i="4"/>
  <c r="G142" i="4"/>
  <c r="H142" i="4"/>
  <c r="I142" i="4"/>
  <c r="J142" i="4"/>
  <c r="L142" i="4"/>
  <c r="M142" i="4"/>
  <c r="N142" i="4"/>
  <c r="O142" i="4"/>
  <c r="P142" i="4"/>
  <c r="Q142" i="4"/>
  <c r="R142" i="4"/>
  <c r="S142" i="4"/>
  <c r="C143" i="4"/>
  <c r="D143" i="4"/>
  <c r="E143" i="4"/>
  <c r="F143" i="4"/>
  <c r="G143" i="4"/>
  <c r="H143" i="4"/>
  <c r="I143" i="4"/>
  <c r="J143" i="4"/>
  <c r="L143" i="4"/>
  <c r="M143" i="4"/>
  <c r="N143" i="4"/>
  <c r="O143" i="4"/>
  <c r="P143" i="4"/>
  <c r="Q143" i="4"/>
  <c r="R143" i="4"/>
  <c r="S143" i="4"/>
  <c r="C144" i="4"/>
  <c r="D144" i="4"/>
  <c r="E144" i="4"/>
  <c r="F144" i="4"/>
  <c r="G144" i="4"/>
  <c r="H144" i="4"/>
  <c r="I144" i="4"/>
  <c r="J144" i="4"/>
  <c r="L144" i="4"/>
  <c r="M144" i="4"/>
  <c r="N144" i="4"/>
  <c r="O144" i="4"/>
  <c r="P144" i="4"/>
  <c r="Q144" i="4"/>
  <c r="R144" i="4"/>
  <c r="S144" i="4"/>
  <c r="C145" i="4"/>
  <c r="D145" i="4"/>
  <c r="E145" i="4"/>
  <c r="F145" i="4"/>
  <c r="G145" i="4"/>
  <c r="H145" i="4"/>
  <c r="I145" i="4"/>
  <c r="J145" i="4"/>
  <c r="L145" i="4"/>
  <c r="M145" i="4"/>
  <c r="N145" i="4"/>
  <c r="O145" i="4"/>
  <c r="P145" i="4"/>
  <c r="Q145" i="4"/>
  <c r="R145" i="4"/>
  <c r="S145" i="4"/>
  <c r="C146" i="4"/>
  <c r="D146" i="4"/>
  <c r="E146" i="4"/>
  <c r="F146" i="4"/>
  <c r="G146" i="4"/>
  <c r="H146" i="4"/>
  <c r="I146" i="4"/>
  <c r="J146" i="4"/>
  <c r="L146" i="4"/>
  <c r="M146" i="4"/>
  <c r="N146" i="4"/>
  <c r="O146" i="4"/>
  <c r="P146" i="4"/>
  <c r="Q146" i="4"/>
  <c r="R146" i="4"/>
  <c r="S146" i="4"/>
  <c r="C147" i="4"/>
  <c r="D147" i="4"/>
  <c r="E147" i="4"/>
  <c r="F147" i="4"/>
  <c r="G147" i="4"/>
  <c r="H147" i="4"/>
  <c r="I147" i="4"/>
  <c r="J147" i="4"/>
  <c r="L147" i="4"/>
  <c r="M147" i="4"/>
  <c r="N147" i="4"/>
  <c r="O147" i="4"/>
  <c r="P147" i="4"/>
  <c r="Q147" i="4"/>
  <c r="R147" i="4"/>
  <c r="S147" i="4"/>
  <c r="C148" i="4"/>
  <c r="D148" i="4"/>
  <c r="E148" i="4"/>
  <c r="F148" i="4"/>
  <c r="G148" i="4"/>
  <c r="H148" i="4"/>
  <c r="I148" i="4"/>
  <c r="J148" i="4"/>
  <c r="L148" i="4"/>
  <c r="M148" i="4"/>
  <c r="N148" i="4"/>
  <c r="O148" i="4"/>
  <c r="P148" i="4"/>
  <c r="Q148" i="4"/>
  <c r="R148" i="4"/>
  <c r="S148" i="4"/>
  <c r="C149" i="4"/>
  <c r="D149" i="4"/>
  <c r="E149" i="4"/>
  <c r="F149" i="4"/>
  <c r="G149" i="4"/>
  <c r="H149" i="4"/>
  <c r="I149" i="4"/>
  <c r="J149" i="4"/>
  <c r="L149" i="4"/>
  <c r="M149" i="4"/>
  <c r="N149" i="4"/>
  <c r="O149" i="4"/>
  <c r="P149" i="4"/>
  <c r="Q149" i="4"/>
  <c r="R149" i="4"/>
  <c r="S149" i="4"/>
  <c r="C150" i="4"/>
  <c r="D150" i="4"/>
  <c r="E150" i="4"/>
  <c r="F150" i="4"/>
  <c r="G150" i="4"/>
  <c r="H150" i="4"/>
  <c r="I150" i="4"/>
  <c r="J150" i="4"/>
  <c r="L150" i="4"/>
  <c r="M150" i="4"/>
  <c r="N150" i="4"/>
  <c r="O150" i="4"/>
  <c r="P150" i="4"/>
  <c r="Q150" i="4"/>
  <c r="R150" i="4"/>
  <c r="S150" i="4"/>
  <c r="C151" i="4"/>
  <c r="D151" i="4"/>
  <c r="E151" i="4"/>
  <c r="F151" i="4"/>
  <c r="G151" i="4"/>
  <c r="H151" i="4"/>
  <c r="I151" i="4"/>
  <c r="J151" i="4"/>
  <c r="L151" i="4"/>
  <c r="M151" i="4"/>
  <c r="N151" i="4"/>
  <c r="O151" i="4"/>
  <c r="P151" i="4"/>
  <c r="Q151" i="4"/>
  <c r="R151" i="4"/>
  <c r="S151" i="4"/>
  <c r="C152" i="4"/>
  <c r="D152" i="4"/>
  <c r="E152" i="4"/>
  <c r="F152" i="4"/>
  <c r="G152" i="4"/>
  <c r="H152" i="4"/>
  <c r="I152" i="4"/>
  <c r="J152" i="4"/>
  <c r="L152" i="4"/>
  <c r="M152" i="4"/>
  <c r="N152" i="4"/>
  <c r="O152" i="4"/>
  <c r="P152" i="4"/>
  <c r="Q152" i="4"/>
  <c r="R152" i="4"/>
  <c r="S152" i="4"/>
  <c r="C153" i="4"/>
  <c r="D153" i="4"/>
  <c r="E153" i="4"/>
  <c r="F153" i="4"/>
  <c r="G153" i="4"/>
  <c r="H153" i="4"/>
  <c r="I153" i="4"/>
  <c r="J153" i="4"/>
  <c r="L153" i="4"/>
  <c r="M153" i="4"/>
  <c r="N153" i="4"/>
  <c r="O153" i="4"/>
  <c r="P153" i="4"/>
  <c r="Q153" i="4"/>
  <c r="R153" i="4"/>
  <c r="S153" i="4"/>
  <c r="C154" i="4"/>
  <c r="D154" i="4"/>
  <c r="E154" i="4"/>
  <c r="F154" i="4"/>
  <c r="G154" i="4"/>
  <c r="H154" i="4"/>
  <c r="I154" i="4"/>
  <c r="J154" i="4"/>
  <c r="L154" i="4"/>
  <c r="M154" i="4"/>
  <c r="N154" i="4"/>
  <c r="O154" i="4"/>
  <c r="P154" i="4"/>
  <c r="Q154" i="4"/>
  <c r="R154" i="4"/>
  <c r="S154" i="4"/>
  <c r="C155" i="4"/>
  <c r="D155" i="4"/>
  <c r="E155" i="4"/>
  <c r="F155" i="4"/>
  <c r="G155" i="4"/>
  <c r="H155" i="4"/>
  <c r="I155" i="4"/>
  <c r="J155" i="4"/>
  <c r="L155" i="4"/>
  <c r="M155" i="4"/>
  <c r="N155" i="4"/>
  <c r="O155" i="4"/>
  <c r="P155" i="4"/>
  <c r="Q155" i="4"/>
  <c r="R155" i="4"/>
  <c r="S155" i="4"/>
  <c r="C156" i="4"/>
  <c r="D156" i="4"/>
  <c r="E156" i="4"/>
  <c r="F156" i="4"/>
  <c r="G156" i="4"/>
  <c r="H156" i="4"/>
  <c r="I156" i="4"/>
  <c r="J156" i="4"/>
  <c r="L156" i="4"/>
  <c r="M156" i="4"/>
  <c r="N156" i="4"/>
  <c r="O156" i="4"/>
  <c r="P156" i="4"/>
  <c r="Q156" i="4"/>
  <c r="R156" i="4"/>
  <c r="S156" i="4"/>
  <c r="C157" i="4"/>
  <c r="D157" i="4"/>
  <c r="E157" i="4"/>
  <c r="F157" i="4"/>
  <c r="G157" i="4"/>
  <c r="H157" i="4"/>
  <c r="I157" i="4"/>
  <c r="J157" i="4"/>
  <c r="L157" i="4"/>
  <c r="M157" i="4"/>
  <c r="N157" i="4"/>
  <c r="O157" i="4"/>
  <c r="P157" i="4"/>
  <c r="Q157" i="4"/>
  <c r="R157" i="4"/>
  <c r="S157" i="4"/>
  <c r="C158" i="4"/>
  <c r="D158" i="4"/>
  <c r="E158" i="4"/>
  <c r="F158" i="4"/>
  <c r="G158" i="4"/>
  <c r="H158" i="4"/>
  <c r="I158" i="4"/>
  <c r="J158" i="4"/>
  <c r="L158" i="4"/>
  <c r="M158" i="4"/>
  <c r="N158" i="4"/>
  <c r="O158" i="4"/>
  <c r="P158" i="4"/>
  <c r="Q158" i="4"/>
  <c r="R158" i="4"/>
  <c r="S158" i="4"/>
  <c r="C159" i="4"/>
  <c r="D159" i="4"/>
  <c r="E159" i="4"/>
  <c r="F159" i="4"/>
  <c r="G159" i="4"/>
  <c r="H159" i="4"/>
  <c r="I159" i="4"/>
  <c r="J159" i="4"/>
  <c r="L159" i="4"/>
  <c r="M159" i="4"/>
  <c r="N159" i="4"/>
  <c r="O159" i="4"/>
  <c r="P159" i="4"/>
  <c r="Q159" i="4"/>
  <c r="R159" i="4"/>
  <c r="S159" i="4"/>
  <c r="C160" i="4"/>
  <c r="D160" i="4"/>
  <c r="E160" i="4"/>
  <c r="F160" i="4"/>
  <c r="G160" i="4"/>
  <c r="H160" i="4"/>
  <c r="I160" i="4"/>
  <c r="J160" i="4"/>
  <c r="L160" i="4"/>
  <c r="M160" i="4"/>
  <c r="N160" i="4"/>
  <c r="O160" i="4"/>
  <c r="P160" i="4"/>
  <c r="Q160" i="4"/>
  <c r="R160" i="4"/>
  <c r="S160" i="4"/>
  <c r="C161" i="4"/>
  <c r="D161" i="4"/>
  <c r="E161" i="4"/>
  <c r="F161" i="4"/>
  <c r="G161" i="4"/>
  <c r="H161" i="4"/>
  <c r="I161" i="4"/>
  <c r="J161" i="4"/>
  <c r="L161" i="4"/>
  <c r="M161" i="4"/>
  <c r="N161" i="4"/>
  <c r="O161" i="4"/>
  <c r="P161" i="4"/>
  <c r="Q161" i="4"/>
  <c r="R161" i="4"/>
  <c r="S161" i="4"/>
  <c r="C162" i="4"/>
  <c r="D162" i="4"/>
  <c r="E162" i="4"/>
  <c r="F162" i="4"/>
  <c r="G162" i="4"/>
  <c r="H162" i="4"/>
  <c r="I162" i="4"/>
  <c r="J162" i="4"/>
  <c r="L162" i="4"/>
  <c r="M162" i="4"/>
  <c r="N162" i="4"/>
  <c r="O162" i="4"/>
  <c r="P162" i="4"/>
  <c r="Q162" i="4"/>
  <c r="R162" i="4"/>
  <c r="S162" i="4"/>
  <c r="C163" i="4"/>
  <c r="D163" i="4"/>
  <c r="E163" i="4"/>
  <c r="F163" i="4"/>
  <c r="G163" i="4"/>
  <c r="H163" i="4"/>
  <c r="I163" i="4"/>
  <c r="J163" i="4"/>
  <c r="L163" i="4"/>
  <c r="M163" i="4"/>
  <c r="N163" i="4"/>
  <c r="O163" i="4"/>
  <c r="P163" i="4"/>
  <c r="Q163" i="4"/>
  <c r="R163" i="4"/>
  <c r="S163" i="4"/>
  <c r="C164" i="4"/>
  <c r="D164" i="4"/>
  <c r="E164" i="4"/>
  <c r="F164" i="4"/>
  <c r="G164" i="4"/>
  <c r="H164" i="4"/>
  <c r="I164" i="4"/>
  <c r="J164" i="4"/>
  <c r="L164" i="4"/>
  <c r="M164" i="4"/>
  <c r="N164" i="4"/>
  <c r="O164" i="4"/>
  <c r="P164" i="4"/>
  <c r="Q164" i="4"/>
  <c r="R164" i="4"/>
  <c r="S164" i="4"/>
  <c r="C165" i="4"/>
  <c r="D165" i="4"/>
  <c r="E165" i="4"/>
  <c r="F165" i="4"/>
  <c r="G165" i="4"/>
  <c r="H165" i="4"/>
  <c r="I165" i="4"/>
  <c r="J165" i="4"/>
  <c r="L165" i="4"/>
  <c r="M165" i="4"/>
  <c r="N165" i="4"/>
  <c r="O165" i="4"/>
  <c r="P165" i="4"/>
  <c r="Q165" i="4"/>
  <c r="R165" i="4"/>
  <c r="S165" i="4"/>
  <c r="C166" i="4"/>
  <c r="D166" i="4"/>
  <c r="E166" i="4"/>
  <c r="F166" i="4"/>
  <c r="G166" i="4"/>
  <c r="H166" i="4"/>
  <c r="I166" i="4"/>
  <c r="J166" i="4"/>
  <c r="L166" i="4"/>
  <c r="M166" i="4"/>
  <c r="N166" i="4"/>
  <c r="O166" i="4"/>
  <c r="P166" i="4"/>
  <c r="Q166" i="4"/>
  <c r="R166" i="4"/>
  <c r="S166" i="4"/>
  <c r="C167" i="4"/>
  <c r="D167" i="4"/>
  <c r="E167" i="4"/>
  <c r="F167" i="4"/>
  <c r="G167" i="4"/>
  <c r="H167" i="4"/>
  <c r="I167" i="4"/>
  <c r="J167" i="4"/>
  <c r="L167" i="4"/>
  <c r="M167" i="4"/>
  <c r="N167" i="4"/>
  <c r="O167" i="4"/>
  <c r="P167" i="4"/>
  <c r="Q167" i="4"/>
  <c r="R167" i="4"/>
  <c r="S167" i="4"/>
  <c r="C168" i="4"/>
  <c r="D168" i="4"/>
  <c r="E168" i="4"/>
  <c r="F168" i="4"/>
  <c r="G168" i="4"/>
  <c r="H168" i="4"/>
  <c r="I168" i="4"/>
  <c r="J168" i="4"/>
  <c r="L168" i="4"/>
  <c r="M168" i="4"/>
  <c r="N168" i="4"/>
  <c r="O168" i="4"/>
  <c r="P168" i="4"/>
  <c r="Q168" i="4"/>
  <c r="R168" i="4"/>
  <c r="S168" i="4"/>
  <c r="C169" i="4"/>
  <c r="D169" i="4"/>
  <c r="E169" i="4"/>
  <c r="F169" i="4"/>
  <c r="G169" i="4"/>
  <c r="H169" i="4"/>
  <c r="I169" i="4"/>
  <c r="J169" i="4"/>
  <c r="L169" i="4"/>
  <c r="M169" i="4"/>
  <c r="N169" i="4"/>
  <c r="O169" i="4"/>
  <c r="P169" i="4"/>
  <c r="Q169" i="4"/>
  <c r="R169" i="4"/>
  <c r="S169" i="4"/>
  <c r="C170" i="4"/>
  <c r="D170" i="4"/>
  <c r="E170" i="4"/>
  <c r="F170" i="4"/>
  <c r="G170" i="4"/>
  <c r="H170" i="4"/>
  <c r="I170" i="4"/>
  <c r="J170" i="4"/>
  <c r="L170" i="4"/>
  <c r="M170" i="4"/>
  <c r="N170" i="4"/>
  <c r="O170" i="4"/>
  <c r="P170" i="4"/>
  <c r="Q170" i="4"/>
  <c r="R170" i="4"/>
  <c r="S170" i="4"/>
  <c r="C171" i="4"/>
  <c r="D171" i="4"/>
  <c r="E171" i="4"/>
  <c r="F171" i="4"/>
  <c r="G171" i="4"/>
  <c r="H171" i="4"/>
  <c r="I171" i="4"/>
  <c r="J171" i="4"/>
  <c r="L171" i="4"/>
  <c r="M171" i="4"/>
  <c r="N171" i="4"/>
  <c r="O171" i="4"/>
  <c r="P171" i="4"/>
  <c r="Q171" i="4"/>
  <c r="R171" i="4"/>
  <c r="S171" i="4"/>
  <c r="C172" i="4"/>
  <c r="D172" i="4"/>
  <c r="E172" i="4"/>
  <c r="F172" i="4"/>
  <c r="G172" i="4"/>
  <c r="H172" i="4"/>
  <c r="I172" i="4"/>
  <c r="J172" i="4"/>
  <c r="L172" i="4"/>
  <c r="M172" i="4"/>
  <c r="N172" i="4"/>
  <c r="O172" i="4"/>
  <c r="P172" i="4"/>
  <c r="Q172" i="4"/>
  <c r="R172" i="4"/>
  <c r="S172" i="4"/>
  <c r="C173" i="4"/>
  <c r="D173" i="4"/>
  <c r="E173" i="4"/>
  <c r="F173" i="4"/>
  <c r="G173" i="4"/>
  <c r="H173" i="4"/>
  <c r="I173" i="4"/>
  <c r="J173" i="4"/>
  <c r="L173" i="4"/>
  <c r="M173" i="4"/>
  <c r="N173" i="4"/>
  <c r="O173" i="4"/>
  <c r="P173" i="4"/>
  <c r="Q173" i="4"/>
  <c r="R173" i="4"/>
  <c r="S173" i="4"/>
  <c r="C174" i="4"/>
  <c r="D174" i="4"/>
  <c r="E174" i="4"/>
  <c r="F174" i="4"/>
  <c r="G174" i="4"/>
  <c r="H174" i="4"/>
  <c r="I174" i="4"/>
  <c r="J174" i="4"/>
  <c r="L174" i="4"/>
  <c r="M174" i="4"/>
  <c r="N174" i="4"/>
  <c r="O174" i="4"/>
  <c r="P174" i="4"/>
  <c r="Q174" i="4"/>
  <c r="R174" i="4"/>
  <c r="S174" i="4"/>
  <c r="C175" i="4"/>
  <c r="D175" i="4"/>
  <c r="E175" i="4"/>
  <c r="F175" i="4"/>
  <c r="G175" i="4"/>
  <c r="H175" i="4"/>
  <c r="I175" i="4"/>
  <c r="J175" i="4"/>
  <c r="L175" i="4"/>
  <c r="M175" i="4"/>
  <c r="N175" i="4"/>
  <c r="O175" i="4"/>
  <c r="P175" i="4"/>
  <c r="Q175" i="4"/>
  <c r="R175" i="4"/>
  <c r="S175" i="4"/>
  <c r="C176" i="4"/>
  <c r="D176" i="4"/>
  <c r="E176" i="4"/>
  <c r="F176" i="4"/>
  <c r="G176" i="4"/>
  <c r="H176" i="4"/>
  <c r="I176" i="4"/>
  <c r="J176" i="4"/>
  <c r="L176" i="4"/>
  <c r="M176" i="4"/>
  <c r="N176" i="4"/>
  <c r="O176" i="4"/>
  <c r="P176" i="4"/>
  <c r="Q176" i="4"/>
  <c r="R176" i="4"/>
  <c r="S176" i="4"/>
  <c r="C177" i="4"/>
  <c r="D177" i="4"/>
  <c r="E177" i="4"/>
  <c r="F177" i="4"/>
  <c r="G177" i="4"/>
  <c r="H177" i="4"/>
  <c r="I177" i="4"/>
  <c r="J177" i="4"/>
  <c r="L177" i="4"/>
  <c r="M177" i="4"/>
  <c r="N177" i="4"/>
  <c r="O177" i="4"/>
  <c r="P177" i="4"/>
  <c r="Q177" i="4"/>
  <c r="R177" i="4"/>
  <c r="S177" i="4"/>
  <c r="C178" i="4"/>
  <c r="D178" i="4"/>
  <c r="E178" i="4"/>
  <c r="F178" i="4"/>
  <c r="G178" i="4"/>
  <c r="H178" i="4"/>
  <c r="I178" i="4"/>
  <c r="J178" i="4"/>
  <c r="L178" i="4"/>
  <c r="M178" i="4"/>
  <c r="N178" i="4"/>
  <c r="O178" i="4"/>
  <c r="P178" i="4"/>
  <c r="Q178" i="4"/>
  <c r="R178" i="4"/>
  <c r="S178" i="4"/>
  <c r="C179" i="4"/>
  <c r="D179" i="4"/>
  <c r="E179" i="4"/>
  <c r="F179" i="4"/>
  <c r="G179" i="4"/>
  <c r="H179" i="4"/>
  <c r="I179" i="4"/>
  <c r="J179" i="4"/>
  <c r="L179" i="4"/>
  <c r="M179" i="4"/>
  <c r="N179" i="4"/>
  <c r="O179" i="4"/>
  <c r="P179" i="4"/>
  <c r="Q179" i="4"/>
  <c r="R179" i="4"/>
  <c r="S179" i="4"/>
  <c r="C180" i="4"/>
  <c r="D180" i="4"/>
  <c r="E180" i="4"/>
  <c r="F180" i="4"/>
  <c r="G180" i="4"/>
  <c r="H180" i="4"/>
  <c r="I180" i="4"/>
  <c r="J180" i="4"/>
  <c r="L180" i="4"/>
  <c r="M180" i="4"/>
  <c r="N180" i="4"/>
  <c r="O180" i="4"/>
  <c r="P180" i="4"/>
  <c r="Q180" i="4"/>
  <c r="R180" i="4"/>
  <c r="S180" i="4"/>
  <c r="C181" i="4"/>
  <c r="D181" i="4"/>
  <c r="E181" i="4"/>
  <c r="F181" i="4"/>
  <c r="G181" i="4"/>
  <c r="H181" i="4"/>
  <c r="I181" i="4"/>
  <c r="J181" i="4"/>
  <c r="L181" i="4"/>
  <c r="M181" i="4"/>
  <c r="N181" i="4"/>
  <c r="O181" i="4"/>
  <c r="P181" i="4"/>
  <c r="Q181" i="4"/>
  <c r="R181" i="4"/>
  <c r="S181" i="4"/>
  <c r="C182" i="4"/>
  <c r="D182" i="4"/>
  <c r="E182" i="4"/>
  <c r="F182" i="4"/>
  <c r="G182" i="4"/>
  <c r="H182" i="4"/>
  <c r="I182" i="4"/>
  <c r="J182" i="4"/>
  <c r="L182" i="4"/>
  <c r="M182" i="4"/>
  <c r="N182" i="4"/>
  <c r="O182" i="4"/>
  <c r="P182" i="4"/>
  <c r="Q182" i="4"/>
  <c r="R182" i="4"/>
  <c r="S182" i="4"/>
  <c r="C183" i="4"/>
  <c r="D183" i="4"/>
  <c r="E183" i="4"/>
  <c r="F183" i="4"/>
  <c r="G183" i="4"/>
  <c r="H183" i="4"/>
  <c r="I183" i="4"/>
  <c r="J183" i="4"/>
  <c r="L183" i="4"/>
  <c r="M183" i="4"/>
  <c r="N183" i="4"/>
  <c r="O183" i="4"/>
  <c r="P183" i="4"/>
  <c r="Q183" i="4"/>
  <c r="R183" i="4"/>
  <c r="S183" i="4"/>
  <c r="C184" i="4"/>
  <c r="D184" i="4"/>
  <c r="E184" i="4"/>
  <c r="F184" i="4"/>
  <c r="G184" i="4"/>
  <c r="H184" i="4"/>
  <c r="I184" i="4"/>
  <c r="J184" i="4"/>
  <c r="L184" i="4"/>
  <c r="M184" i="4"/>
  <c r="N184" i="4"/>
  <c r="O184" i="4"/>
  <c r="P184" i="4"/>
  <c r="Q184" i="4"/>
  <c r="R184" i="4"/>
  <c r="S184" i="4"/>
  <c r="C185" i="4"/>
  <c r="D185" i="4"/>
  <c r="E185" i="4"/>
  <c r="F185" i="4"/>
  <c r="G185" i="4"/>
  <c r="H185" i="4"/>
  <c r="I185" i="4"/>
  <c r="J185" i="4"/>
  <c r="L185" i="4"/>
  <c r="M185" i="4"/>
  <c r="N185" i="4"/>
  <c r="O185" i="4"/>
  <c r="P185" i="4"/>
  <c r="Q185" i="4"/>
  <c r="R185" i="4"/>
  <c r="S185" i="4"/>
  <c r="C186" i="4"/>
  <c r="D186" i="4"/>
  <c r="E186" i="4"/>
  <c r="F186" i="4"/>
  <c r="G186" i="4"/>
  <c r="H186" i="4"/>
  <c r="I186" i="4"/>
  <c r="J186" i="4"/>
  <c r="L186" i="4"/>
  <c r="M186" i="4"/>
  <c r="N186" i="4"/>
  <c r="O186" i="4"/>
  <c r="P186" i="4"/>
  <c r="Q186" i="4"/>
  <c r="R186" i="4"/>
  <c r="S186" i="4"/>
  <c r="C187" i="4"/>
  <c r="D187" i="4"/>
  <c r="E187" i="4"/>
  <c r="F187" i="4"/>
  <c r="G187" i="4"/>
  <c r="H187" i="4"/>
  <c r="I187" i="4"/>
  <c r="J187" i="4"/>
  <c r="L187" i="4"/>
  <c r="M187" i="4"/>
  <c r="N187" i="4"/>
  <c r="O187" i="4"/>
  <c r="P187" i="4"/>
  <c r="Q187" i="4"/>
  <c r="R187" i="4"/>
  <c r="S187" i="4"/>
  <c r="C188" i="4"/>
  <c r="D188" i="4"/>
  <c r="E188" i="4"/>
  <c r="F188" i="4"/>
  <c r="G188" i="4"/>
  <c r="H188" i="4"/>
  <c r="I188" i="4"/>
  <c r="J188" i="4"/>
  <c r="L188" i="4"/>
  <c r="M188" i="4"/>
  <c r="N188" i="4"/>
  <c r="O188" i="4"/>
  <c r="P188" i="4"/>
  <c r="Q188" i="4"/>
  <c r="R188" i="4"/>
  <c r="S188" i="4"/>
  <c r="C189" i="4"/>
  <c r="D189" i="4"/>
  <c r="E189" i="4"/>
  <c r="F189" i="4"/>
  <c r="G189" i="4"/>
  <c r="H189" i="4"/>
  <c r="I189" i="4"/>
  <c r="J189" i="4"/>
  <c r="L189" i="4"/>
  <c r="M189" i="4"/>
  <c r="N189" i="4"/>
  <c r="O189" i="4"/>
  <c r="P189" i="4"/>
  <c r="Q189" i="4"/>
  <c r="R189" i="4"/>
  <c r="S189" i="4"/>
  <c r="C190" i="4"/>
  <c r="D190" i="4"/>
  <c r="E190" i="4"/>
  <c r="F190" i="4"/>
  <c r="G190" i="4"/>
  <c r="H190" i="4"/>
  <c r="I190" i="4"/>
  <c r="J190" i="4"/>
  <c r="L190" i="4"/>
  <c r="M190" i="4"/>
  <c r="N190" i="4"/>
  <c r="O190" i="4"/>
  <c r="P190" i="4"/>
  <c r="Q190" i="4"/>
  <c r="R190" i="4"/>
  <c r="S190" i="4"/>
  <c r="C191" i="4"/>
  <c r="D191" i="4"/>
  <c r="E191" i="4"/>
  <c r="F191" i="4"/>
  <c r="G191" i="4"/>
  <c r="H191" i="4"/>
  <c r="I191" i="4"/>
  <c r="J191" i="4"/>
  <c r="L191" i="4"/>
  <c r="M191" i="4"/>
  <c r="N191" i="4"/>
  <c r="O191" i="4"/>
  <c r="P191" i="4"/>
  <c r="Q191" i="4"/>
  <c r="R191" i="4"/>
  <c r="S191" i="4"/>
  <c r="C192" i="4"/>
  <c r="D192" i="4"/>
  <c r="E192" i="4"/>
  <c r="F192" i="4"/>
  <c r="G192" i="4"/>
  <c r="H192" i="4"/>
  <c r="I192" i="4"/>
  <c r="J192" i="4"/>
  <c r="L192" i="4"/>
  <c r="M192" i="4"/>
  <c r="N192" i="4"/>
  <c r="O192" i="4"/>
  <c r="P192" i="4"/>
  <c r="Q192" i="4"/>
  <c r="R192" i="4"/>
  <c r="S192" i="4"/>
  <c r="C193" i="4"/>
  <c r="D193" i="4"/>
  <c r="E193" i="4"/>
  <c r="F193" i="4"/>
  <c r="G193" i="4"/>
  <c r="H193" i="4"/>
  <c r="I193" i="4"/>
  <c r="J193" i="4"/>
  <c r="L193" i="4"/>
  <c r="M193" i="4"/>
  <c r="N193" i="4"/>
  <c r="O193" i="4"/>
  <c r="P193" i="4"/>
  <c r="Q193" i="4"/>
  <c r="R193" i="4"/>
  <c r="S193" i="4"/>
  <c r="C194" i="4"/>
  <c r="D194" i="4"/>
  <c r="E194" i="4"/>
  <c r="F194" i="4"/>
  <c r="G194" i="4"/>
  <c r="H194" i="4"/>
  <c r="I194" i="4"/>
  <c r="J194" i="4"/>
  <c r="L194" i="4"/>
  <c r="M194" i="4"/>
  <c r="N194" i="4"/>
  <c r="O194" i="4"/>
  <c r="P194" i="4"/>
  <c r="Q194" i="4"/>
  <c r="R194" i="4"/>
  <c r="S194" i="4"/>
  <c r="C195" i="4"/>
  <c r="D195" i="4"/>
  <c r="E195" i="4"/>
  <c r="F195" i="4"/>
  <c r="G195" i="4"/>
  <c r="H195" i="4"/>
  <c r="I195" i="4"/>
  <c r="J195" i="4"/>
  <c r="L195" i="4"/>
  <c r="M195" i="4"/>
  <c r="N195" i="4"/>
  <c r="O195" i="4"/>
  <c r="P195" i="4"/>
  <c r="Q195" i="4"/>
  <c r="R195" i="4"/>
  <c r="S195" i="4"/>
  <c r="C196" i="4"/>
  <c r="D196" i="4"/>
  <c r="E196" i="4"/>
  <c r="F196" i="4"/>
  <c r="G196" i="4"/>
  <c r="H196" i="4"/>
  <c r="I196" i="4"/>
  <c r="J196" i="4"/>
  <c r="L196" i="4"/>
  <c r="M196" i="4"/>
  <c r="N196" i="4"/>
  <c r="O196" i="4"/>
  <c r="P196" i="4"/>
  <c r="Q196" i="4"/>
  <c r="R196" i="4"/>
  <c r="S196" i="4"/>
  <c r="C197" i="4"/>
  <c r="D197" i="4"/>
  <c r="E197" i="4"/>
  <c r="F197" i="4"/>
  <c r="G197" i="4"/>
  <c r="H197" i="4"/>
  <c r="I197" i="4"/>
  <c r="J197" i="4"/>
  <c r="L197" i="4"/>
  <c r="M197" i="4"/>
  <c r="N197" i="4"/>
  <c r="O197" i="4"/>
  <c r="P197" i="4"/>
  <c r="Q197" i="4"/>
  <c r="R197" i="4"/>
  <c r="S197" i="4"/>
  <c r="C198" i="4"/>
  <c r="D198" i="4"/>
  <c r="E198" i="4"/>
  <c r="F198" i="4"/>
  <c r="G198" i="4"/>
  <c r="H198" i="4"/>
  <c r="I198" i="4"/>
  <c r="J198" i="4"/>
  <c r="L198" i="4"/>
  <c r="M198" i="4"/>
  <c r="N198" i="4"/>
  <c r="O198" i="4"/>
  <c r="P198" i="4"/>
  <c r="Q198" i="4"/>
  <c r="R198" i="4"/>
  <c r="S198" i="4"/>
  <c r="C199" i="4"/>
  <c r="D199" i="4"/>
  <c r="E199" i="4"/>
  <c r="F199" i="4"/>
  <c r="G199" i="4"/>
  <c r="H199" i="4"/>
  <c r="I199" i="4"/>
  <c r="J199" i="4"/>
  <c r="L199" i="4"/>
  <c r="M199" i="4"/>
  <c r="N199" i="4"/>
  <c r="O199" i="4"/>
  <c r="P199" i="4"/>
  <c r="Q199" i="4"/>
  <c r="R199" i="4"/>
  <c r="S199" i="4"/>
  <c r="C200" i="4"/>
  <c r="D200" i="4"/>
  <c r="E200" i="4"/>
  <c r="F200" i="4"/>
  <c r="G200" i="4"/>
  <c r="H200" i="4"/>
  <c r="I200" i="4"/>
  <c r="J200" i="4"/>
  <c r="L200" i="4"/>
  <c r="M200" i="4"/>
  <c r="N200" i="4"/>
  <c r="O200" i="4"/>
  <c r="P200" i="4"/>
  <c r="Q200" i="4"/>
  <c r="R200" i="4"/>
  <c r="S200" i="4"/>
  <c r="C201" i="4"/>
  <c r="D201" i="4"/>
  <c r="E201" i="4"/>
  <c r="F201" i="4"/>
  <c r="G201" i="4"/>
  <c r="H201" i="4"/>
  <c r="I201" i="4"/>
  <c r="J201" i="4"/>
  <c r="L201" i="4"/>
  <c r="M201" i="4"/>
  <c r="N201" i="4"/>
  <c r="O201" i="4"/>
  <c r="P201" i="4"/>
  <c r="Q201" i="4"/>
  <c r="R201" i="4"/>
  <c r="S201" i="4"/>
  <c r="C202" i="4"/>
  <c r="D202" i="4"/>
  <c r="E202" i="4"/>
  <c r="F202" i="4"/>
  <c r="G202" i="4"/>
  <c r="H202" i="4"/>
  <c r="I202" i="4"/>
  <c r="J202" i="4"/>
  <c r="L202" i="4"/>
  <c r="M202" i="4"/>
  <c r="N202" i="4"/>
  <c r="O202" i="4"/>
  <c r="P202" i="4"/>
  <c r="Q202" i="4"/>
  <c r="R202" i="4"/>
  <c r="S202" i="4"/>
  <c r="C203" i="4"/>
  <c r="D203" i="4"/>
  <c r="E203" i="4"/>
  <c r="F203" i="4"/>
  <c r="G203" i="4"/>
  <c r="H203" i="4"/>
  <c r="I203" i="4"/>
  <c r="J203" i="4"/>
  <c r="L203" i="4"/>
  <c r="M203" i="4"/>
  <c r="N203" i="4"/>
  <c r="O203" i="4"/>
  <c r="P203" i="4"/>
  <c r="Q203" i="4"/>
  <c r="R203" i="4"/>
  <c r="S203" i="4"/>
  <c r="C204" i="4"/>
  <c r="D204" i="4"/>
  <c r="E204" i="4"/>
  <c r="F204" i="4"/>
  <c r="G204" i="4"/>
  <c r="H204" i="4"/>
  <c r="I204" i="4"/>
  <c r="J204" i="4"/>
  <c r="L204" i="4"/>
  <c r="M204" i="4"/>
  <c r="N204" i="4"/>
  <c r="O204" i="4"/>
  <c r="P204" i="4"/>
  <c r="Q204" i="4"/>
  <c r="R204" i="4"/>
  <c r="S204" i="4"/>
  <c r="C205" i="4"/>
  <c r="D205" i="4"/>
  <c r="E205" i="4"/>
  <c r="F205" i="4"/>
  <c r="G205" i="4"/>
  <c r="H205" i="4"/>
  <c r="I205" i="4"/>
  <c r="J205" i="4"/>
  <c r="L205" i="4"/>
  <c r="M205" i="4"/>
  <c r="N205" i="4"/>
  <c r="O205" i="4"/>
  <c r="P205" i="4"/>
  <c r="Q205" i="4"/>
  <c r="R205" i="4"/>
  <c r="S205" i="4"/>
  <c r="C206" i="4"/>
  <c r="D206" i="4"/>
  <c r="E206" i="4"/>
  <c r="F206" i="4"/>
  <c r="G206" i="4"/>
  <c r="H206" i="4"/>
  <c r="I206" i="4"/>
  <c r="J206" i="4"/>
  <c r="L206" i="4"/>
  <c r="M206" i="4"/>
  <c r="N206" i="4"/>
  <c r="O206" i="4"/>
  <c r="P206" i="4"/>
  <c r="Q206" i="4"/>
  <c r="R206" i="4"/>
  <c r="S206" i="4"/>
  <c r="C207" i="4"/>
  <c r="D207" i="4"/>
  <c r="E207" i="4"/>
  <c r="F207" i="4"/>
  <c r="G207" i="4"/>
  <c r="H207" i="4"/>
  <c r="I207" i="4"/>
  <c r="J207" i="4"/>
  <c r="L207" i="4"/>
  <c r="M207" i="4"/>
  <c r="N207" i="4"/>
  <c r="O207" i="4"/>
  <c r="P207" i="4"/>
  <c r="Q207" i="4"/>
  <c r="R207" i="4"/>
  <c r="S207" i="4"/>
  <c r="C208" i="4"/>
  <c r="D208" i="4"/>
  <c r="E208" i="4"/>
  <c r="F208" i="4"/>
  <c r="G208" i="4"/>
  <c r="H208" i="4"/>
  <c r="I208" i="4"/>
  <c r="J208" i="4"/>
  <c r="L208" i="4"/>
  <c r="M208" i="4"/>
  <c r="N208" i="4"/>
  <c r="O208" i="4"/>
  <c r="P208" i="4"/>
  <c r="Q208" i="4"/>
  <c r="R208" i="4"/>
  <c r="S208" i="4"/>
  <c r="C209" i="4"/>
  <c r="D209" i="4"/>
  <c r="E209" i="4"/>
  <c r="F209" i="4"/>
  <c r="G209" i="4"/>
  <c r="H209" i="4"/>
  <c r="I209" i="4"/>
  <c r="J209" i="4"/>
  <c r="L209" i="4"/>
  <c r="M209" i="4"/>
  <c r="N209" i="4"/>
  <c r="O209" i="4"/>
  <c r="P209" i="4"/>
  <c r="Q209" i="4"/>
  <c r="R209" i="4"/>
  <c r="S209" i="4"/>
  <c r="C210" i="4"/>
  <c r="D210" i="4"/>
  <c r="E210" i="4"/>
  <c r="F210" i="4"/>
  <c r="G210" i="4"/>
  <c r="H210" i="4"/>
  <c r="I210" i="4"/>
  <c r="J210" i="4"/>
  <c r="L210" i="4"/>
  <c r="M210" i="4"/>
  <c r="N210" i="4"/>
  <c r="O210" i="4"/>
  <c r="P210" i="4"/>
  <c r="Q210" i="4"/>
  <c r="R210" i="4"/>
  <c r="S210" i="4"/>
  <c r="C211" i="4"/>
  <c r="D211" i="4"/>
  <c r="E211" i="4"/>
  <c r="F211" i="4"/>
  <c r="G211" i="4"/>
  <c r="H211" i="4"/>
  <c r="I211" i="4"/>
  <c r="J211" i="4"/>
  <c r="L211" i="4"/>
  <c r="M211" i="4"/>
  <c r="N211" i="4"/>
  <c r="O211" i="4"/>
  <c r="P211" i="4"/>
  <c r="Q211" i="4"/>
  <c r="R211" i="4"/>
  <c r="S211" i="4"/>
  <c r="C212" i="4"/>
  <c r="D212" i="4"/>
  <c r="E212" i="4"/>
  <c r="F212" i="4"/>
  <c r="G212" i="4"/>
  <c r="H212" i="4"/>
  <c r="I212" i="4"/>
  <c r="J212" i="4"/>
  <c r="L212" i="4"/>
  <c r="M212" i="4"/>
  <c r="N212" i="4"/>
  <c r="O212" i="4"/>
  <c r="P212" i="4"/>
  <c r="Q212" i="4"/>
  <c r="R212" i="4"/>
  <c r="S212" i="4"/>
  <c r="C213" i="4"/>
  <c r="D213" i="4"/>
  <c r="E213" i="4"/>
  <c r="F213" i="4"/>
  <c r="G213" i="4"/>
  <c r="H213" i="4"/>
  <c r="I213" i="4"/>
  <c r="J213" i="4"/>
  <c r="L213" i="4"/>
  <c r="M213" i="4"/>
  <c r="N213" i="4"/>
  <c r="O213" i="4"/>
  <c r="P213" i="4"/>
  <c r="Q213" i="4"/>
  <c r="R213" i="4"/>
  <c r="S213" i="4"/>
  <c r="C214" i="4"/>
  <c r="D214" i="4"/>
  <c r="E214" i="4"/>
  <c r="F214" i="4"/>
  <c r="G214" i="4"/>
  <c r="H214" i="4"/>
  <c r="I214" i="4"/>
  <c r="J214" i="4"/>
  <c r="L214" i="4"/>
  <c r="M214" i="4"/>
  <c r="N214" i="4"/>
  <c r="O214" i="4"/>
  <c r="P214" i="4"/>
  <c r="Q214" i="4"/>
  <c r="R214" i="4"/>
  <c r="S214" i="4"/>
  <c r="C215" i="4"/>
  <c r="D215" i="4"/>
  <c r="E215" i="4"/>
  <c r="F215" i="4"/>
  <c r="G215" i="4"/>
  <c r="H215" i="4"/>
  <c r="I215" i="4"/>
  <c r="J215" i="4"/>
  <c r="L215" i="4"/>
  <c r="M215" i="4"/>
  <c r="N215" i="4"/>
  <c r="O215" i="4"/>
  <c r="P215" i="4"/>
  <c r="Q215" i="4"/>
  <c r="R215" i="4"/>
  <c r="S215" i="4"/>
  <c r="C216" i="4"/>
  <c r="D216" i="4"/>
  <c r="E216" i="4"/>
  <c r="F216" i="4"/>
  <c r="G216" i="4"/>
  <c r="H216" i="4"/>
  <c r="I216" i="4"/>
  <c r="J216" i="4"/>
  <c r="L216" i="4"/>
  <c r="M216" i="4"/>
  <c r="N216" i="4"/>
  <c r="O216" i="4"/>
  <c r="P216" i="4"/>
  <c r="Q216" i="4"/>
  <c r="R216" i="4"/>
  <c r="S216" i="4"/>
  <c r="C217" i="4"/>
  <c r="D217" i="4"/>
  <c r="E217" i="4"/>
  <c r="F217" i="4"/>
  <c r="G217" i="4"/>
  <c r="H217" i="4"/>
  <c r="I217" i="4"/>
  <c r="J217" i="4"/>
  <c r="L217" i="4"/>
  <c r="M217" i="4"/>
  <c r="N217" i="4"/>
  <c r="O217" i="4"/>
  <c r="P217" i="4"/>
  <c r="Q217" i="4"/>
  <c r="R217" i="4"/>
  <c r="S217" i="4"/>
  <c r="C218" i="4"/>
  <c r="D218" i="4"/>
  <c r="E218" i="4"/>
  <c r="F218" i="4"/>
  <c r="G218" i="4"/>
  <c r="H218" i="4"/>
  <c r="I218" i="4"/>
  <c r="J218" i="4"/>
  <c r="L218" i="4"/>
  <c r="M218" i="4"/>
  <c r="N218" i="4"/>
  <c r="O218" i="4"/>
  <c r="P218" i="4"/>
  <c r="Q218" i="4"/>
  <c r="R218" i="4"/>
  <c r="S218" i="4"/>
  <c r="C219" i="4"/>
  <c r="D219" i="4"/>
  <c r="E219" i="4"/>
  <c r="F219" i="4"/>
  <c r="G219" i="4"/>
  <c r="H219" i="4"/>
  <c r="I219" i="4"/>
  <c r="J219" i="4"/>
  <c r="L219" i="4"/>
  <c r="M219" i="4"/>
  <c r="N219" i="4"/>
  <c r="O219" i="4"/>
  <c r="P219" i="4"/>
  <c r="Q219" i="4"/>
  <c r="R219" i="4"/>
  <c r="S219" i="4"/>
  <c r="C220" i="4"/>
  <c r="D220" i="4"/>
  <c r="E220" i="4"/>
  <c r="F220" i="4"/>
  <c r="G220" i="4"/>
  <c r="H220" i="4"/>
  <c r="I220" i="4"/>
  <c r="J220" i="4"/>
  <c r="L220" i="4"/>
  <c r="M220" i="4"/>
  <c r="N220" i="4"/>
  <c r="O220" i="4"/>
  <c r="P220" i="4"/>
  <c r="Q220" i="4"/>
  <c r="R220" i="4"/>
  <c r="S220" i="4"/>
  <c r="C221" i="4"/>
  <c r="D221" i="4"/>
  <c r="E221" i="4"/>
  <c r="F221" i="4"/>
  <c r="G221" i="4"/>
  <c r="H221" i="4"/>
  <c r="I221" i="4"/>
  <c r="J221" i="4"/>
  <c r="L221" i="4"/>
  <c r="M221" i="4"/>
  <c r="N221" i="4"/>
  <c r="O221" i="4"/>
  <c r="P221" i="4"/>
  <c r="Q221" i="4"/>
  <c r="R221" i="4"/>
  <c r="S221" i="4"/>
  <c r="C222" i="4"/>
  <c r="D222" i="4"/>
  <c r="E222" i="4"/>
  <c r="F222" i="4"/>
  <c r="G222" i="4"/>
  <c r="H222" i="4"/>
  <c r="I222" i="4"/>
  <c r="J222" i="4"/>
  <c r="L222" i="4"/>
  <c r="M222" i="4"/>
  <c r="N222" i="4"/>
  <c r="O222" i="4"/>
  <c r="P222" i="4"/>
  <c r="Q222" i="4"/>
  <c r="R222" i="4"/>
  <c r="S222" i="4"/>
  <c r="C223" i="4"/>
  <c r="D223" i="4"/>
  <c r="E223" i="4"/>
  <c r="F223" i="4"/>
  <c r="G223" i="4"/>
  <c r="H223" i="4"/>
  <c r="I223" i="4"/>
  <c r="J223" i="4"/>
  <c r="L223" i="4"/>
  <c r="M223" i="4"/>
  <c r="N223" i="4"/>
  <c r="O223" i="4"/>
  <c r="P223" i="4"/>
  <c r="Q223" i="4"/>
  <c r="R223" i="4"/>
  <c r="S223" i="4"/>
  <c r="C224" i="4"/>
  <c r="D224" i="4"/>
  <c r="E224" i="4"/>
  <c r="F224" i="4"/>
  <c r="G224" i="4"/>
  <c r="H224" i="4"/>
  <c r="I224" i="4"/>
  <c r="J224" i="4"/>
  <c r="L224" i="4"/>
  <c r="M224" i="4"/>
  <c r="N224" i="4"/>
  <c r="O224" i="4"/>
  <c r="P224" i="4"/>
  <c r="Q224" i="4"/>
  <c r="R224" i="4"/>
  <c r="S224" i="4"/>
  <c r="C225" i="4"/>
  <c r="D225" i="4"/>
  <c r="E225" i="4"/>
  <c r="F225" i="4"/>
  <c r="G225" i="4"/>
  <c r="H225" i="4"/>
  <c r="I225" i="4"/>
  <c r="J225" i="4"/>
  <c r="L225" i="4"/>
  <c r="M225" i="4"/>
  <c r="N225" i="4"/>
  <c r="O225" i="4"/>
  <c r="P225" i="4"/>
  <c r="Q225" i="4"/>
  <c r="R225" i="4"/>
  <c r="S225" i="4"/>
  <c r="C226" i="4"/>
  <c r="D226" i="4"/>
  <c r="E226" i="4"/>
  <c r="F226" i="4"/>
  <c r="G226" i="4"/>
  <c r="H226" i="4"/>
  <c r="I226" i="4"/>
  <c r="J226" i="4"/>
  <c r="L226" i="4"/>
  <c r="M226" i="4"/>
  <c r="N226" i="4"/>
  <c r="O226" i="4"/>
  <c r="P226" i="4"/>
  <c r="Q226" i="4"/>
  <c r="R226" i="4"/>
  <c r="S226" i="4"/>
  <c r="C227" i="4"/>
  <c r="D227" i="4"/>
  <c r="E227" i="4"/>
  <c r="F227" i="4"/>
  <c r="G227" i="4"/>
  <c r="H227" i="4"/>
  <c r="I227" i="4"/>
  <c r="J227" i="4"/>
  <c r="L227" i="4"/>
  <c r="M227" i="4"/>
  <c r="N227" i="4"/>
  <c r="O227" i="4"/>
  <c r="P227" i="4"/>
  <c r="Q227" i="4"/>
  <c r="R227" i="4"/>
  <c r="S227" i="4"/>
  <c r="C228" i="4"/>
  <c r="D228" i="4"/>
  <c r="E228" i="4"/>
  <c r="F228" i="4"/>
  <c r="G228" i="4"/>
  <c r="H228" i="4"/>
  <c r="I228" i="4"/>
  <c r="J228" i="4"/>
  <c r="L228" i="4"/>
  <c r="M228" i="4"/>
  <c r="N228" i="4"/>
  <c r="O228" i="4"/>
  <c r="P228" i="4"/>
  <c r="Q228" i="4"/>
  <c r="R228" i="4"/>
  <c r="S228" i="4"/>
  <c r="C229" i="4"/>
  <c r="D229" i="4"/>
  <c r="E229" i="4"/>
  <c r="F229" i="4"/>
  <c r="G229" i="4"/>
  <c r="H229" i="4"/>
  <c r="I229" i="4"/>
  <c r="J229" i="4"/>
  <c r="L229" i="4"/>
  <c r="M229" i="4"/>
  <c r="N229" i="4"/>
  <c r="O229" i="4"/>
  <c r="P229" i="4"/>
  <c r="Q229" i="4"/>
  <c r="R229" i="4"/>
  <c r="S229" i="4"/>
  <c r="C230" i="4"/>
  <c r="D230" i="4"/>
  <c r="E230" i="4"/>
  <c r="F230" i="4"/>
  <c r="G230" i="4"/>
  <c r="H230" i="4"/>
  <c r="I230" i="4"/>
  <c r="J230" i="4"/>
  <c r="L230" i="4"/>
  <c r="M230" i="4"/>
  <c r="N230" i="4"/>
  <c r="O230" i="4"/>
  <c r="P230" i="4"/>
  <c r="Q230" i="4"/>
  <c r="R230" i="4"/>
  <c r="S230" i="4"/>
  <c r="C231" i="4"/>
  <c r="D231" i="4"/>
  <c r="E231" i="4"/>
  <c r="F231" i="4"/>
  <c r="G231" i="4"/>
  <c r="H231" i="4"/>
  <c r="I231" i="4"/>
  <c r="J231" i="4"/>
  <c r="L231" i="4"/>
  <c r="M231" i="4"/>
  <c r="N231" i="4"/>
  <c r="O231" i="4"/>
  <c r="P231" i="4"/>
  <c r="Q231" i="4"/>
  <c r="R231" i="4"/>
  <c r="S231" i="4"/>
  <c r="C232" i="4"/>
  <c r="D232" i="4"/>
  <c r="E232" i="4"/>
  <c r="F232" i="4"/>
  <c r="G232" i="4"/>
  <c r="H232" i="4"/>
  <c r="I232" i="4"/>
  <c r="J232" i="4"/>
  <c r="L232" i="4"/>
  <c r="M232" i="4"/>
  <c r="N232" i="4"/>
  <c r="O232" i="4"/>
  <c r="P232" i="4"/>
  <c r="Q232" i="4"/>
  <c r="R232" i="4"/>
  <c r="S232" i="4"/>
  <c r="C233" i="4"/>
  <c r="D233" i="4"/>
  <c r="E233" i="4"/>
  <c r="F233" i="4"/>
  <c r="G233" i="4"/>
  <c r="H233" i="4"/>
  <c r="I233" i="4"/>
  <c r="J233" i="4"/>
  <c r="L233" i="4"/>
  <c r="M233" i="4"/>
  <c r="N233" i="4"/>
  <c r="O233" i="4"/>
  <c r="P233" i="4"/>
  <c r="Q233" i="4"/>
  <c r="R233" i="4"/>
  <c r="S233" i="4"/>
  <c r="C234" i="4"/>
  <c r="D234" i="4"/>
  <c r="E234" i="4"/>
  <c r="F234" i="4"/>
  <c r="G234" i="4"/>
  <c r="H234" i="4"/>
  <c r="I234" i="4"/>
  <c r="J234" i="4"/>
  <c r="L234" i="4"/>
  <c r="M234" i="4"/>
  <c r="N234" i="4"/>
  <c r="O234" i="4"/>
  <c r="P234" i="4"/>
  <c r="Q234" i="4"/>
  <c r="R234" i="4"/>
  <c r="S234" i="4"/>
  <c r="C235" i="4"/>
  <c r="D235" i="4"/>
  <c r="E235" i="4"/>
  <c r="F235" i="4"/>
  <c r="G235" i="4"/>
  <c r="H235" i="4"/>
  <c r="I235" i="4"/>
  <c r="J235" i="4"/>
  <c r="L235" i="4"/>
  <c r="M235" i="4"/>
  <c r="N235" i="4"/>
  <c r="O235" i="4"/>
  <c r="P235" i="4"/>
  <c r="Q235" i="4"/>
  <c r="R235" i="4"/>
  <c r="S235" i="4"/>
  <c r="C236" i="4"/>
  <c r="D236" i="4"/>
  <c r="E236" i="4"/>
  <c r="F236" i="4"/>
  <c r="G236" i="4"/>
  <c r="H236" i="4"/>
  <c r="I236" i="4"/>
  <c r="J236" i="4"/>
  <c r="L236" i="4"/>
  <c r="M236" i="4"/>
  <c r="N236" i="4"/>
  <c r="O236" i="4"/>
  <c r="P236" i="4"/>
  <c r="Q236" i="4"/>
  <c r="R236" i="4"/>
  <c r="S236" i="4"/>
  <c r="C237" i="4"/>
  <c r="D237" i="4"/>
  <c r="E237" i="4"/>
  <c r="F237" i="4"/>
  <c r="G237" i="4"/>
  <c r="H237" i="4"/>
  <c r="I237" i="4"/>
  <c r="J237" i="4"/>
  <c r="L237" i="4"/>
  <c r="M237" i="4"/>
  <c r="N237" i="4"/>
  <c r="O237" i="4"/>
  <c r="P237" i="4"/>
  <c r="Q237" i="4"/>
  <c r="R237" i="4"/>
  <c r="S237" i="4"/>
  <c r="C238" i="4"/>
  <c r="D238" i="4"/>
  <c r="E238" i="4"/>
  <c r="F238" i="4"/>
  <c r="G238" i="4"/>
  <c r="H238" i="4"/>
  <c r="I238" i="4"/>
  <c r="J238" i="4"/>
  <c r="L238" i="4"/>
  <c r="M238" i="4"/>
  <c r="N238" i="4"/>
  <c r="O238" i="4"/>
  <c r="P238" i="4"/>
  <c r="Q238" i="4"/>
  <c r="R238" i="4"/>
  <c r="S238" i="4"/>
  <c r="C239" i="4"/>
  <c r="D239" i="4"/>
  <c r="E239" i="4"/>
  <c r="F239" i="4"/>
  <c r="G239" i="4"/>
  <c r="H239" i="4"/>
  <c r="I239" i="4"/>
  <c r="J239" i="4"/>
  <c r="L239" i="4"/>
  <c r="M239" i="4"/>
  <c r="N239" i="4"/>
  <c r="O239" i="4"/>
  <c r="P239" i="4"/>
  <c r="Q239" i="4"/>
  <c r="R239" i="4"/>
  <c r="S239" i="4"/>
  <c r="C240" i="4"/>
  <c r="D240" i="4"/>
  <c r="E240" i="4"/>
  <c r="F240" i="4"/>
  <c r="G240" i="4"/>
  <c r="H240" i="4"/>
  <c r="I240" i="4"/>
  <c r="J240" i="4"/>
  <c r="L240" i="4"/>
  <c r="M240" i="4"/>
  <c r="N240" i="4"/>
  <c r="O240" i="4"/>
  <c r="P240" i="4"/>
  <c r="Q240" i="4"/>
  <c r="R240" i="4"/>
  <c r="S240" i="4"/>
  <c r="C241" i="4"/>
  <c r="D241" i="4"/>
  <c r="E241" i="4"/>
  <c r="F241" i="4"/>
  <c r="G241" i="4"/>
  <c r="H241" i="4"/>
  <c r="I241" i="4"/>
  <c r="J241" i="4"/>
  <c r="L241" i="4"/>
  <c r="M241" i="4"/>
  <c r="N241" i="4"/>
  <c r="O241" i="4"/>
  <c r="P241" i="4"/>
  <c r="Q241" i="4"/>
  <c r="R241" i="4"/>
  <c r="S241" i="4"/>
  <c r="C242" i="4"/>
  <c r="D242" i="4"/>
  <c r="E242" i="4"/>
  <c r="F242" i="4"/>
  <c r="G242" i="4"/>
  <c r="H242" i="4"/>
  <c r="I242" i="4"/>
  <c r="J242" i="4"/>
  <c r="L242" i="4"/>
  <c r="M242" i="4"/>
  <c r="N242" i="4"/>
  <c r="O242" i="4"/>
  <c r="P242" i="4"/>
  <c r="Q242" i="4"/>
  <c r="R242" i="4"/>
  <c r="S242" i="4"/>
  <c r="C243" i="4"/>
  <c r="D243" i="4"/>
  <c r="E243" i="4"/>
  <c r="F243" i="4"/>
  <c r="G243" i="4"/>
  <c r="H243" i="4"/>
  <c r="I243" i="4"/>
  <c r="J243" i="4"/>
  <c r="L243" i="4"/>
  <c r="M243" i="4"/>
  <c r="N243" i="4"/>
  <c r="O243" i="4"/>
  <c r="P243" i="4"/>
  <c r="Q243" i="4"/>
  <c r="R243" i="4"/>
  <c r="S243" i="4"/>
  <c r="C244" i="4"/>
  <c r="D244" i="4"/>
  <c r="E244" i="4"/>
  <c r="F244" i="4"/>
  <c r="G244" i="4"/>
  <c r="H244" i="4"/>
  <c r="I244" i="4"/>
  <c r="J244" i="4"/>
  <c r="L244" i="4"/>
  <c r="M244" i="4"/>
  <c r="N244" i="4"/>
  <c r="O244" i="4"/>
  <c r="P244" i="4"/>
  <c r="Q244" i="4"/>
  <c r="R244" i="4"/>
  <c r="S244" i="4"/>
  <c r="C245" i="4"/>
  <c r="D245" i="4"/>
  <c r="E245" i="4"/>
  <c r="F245" i="4"/>
  <c r="G245" i="4"/>
  <c r="H245" i="4"/>
  <c r="I245" i="4"/>
  <c r="J245" i="4"/>
  <c r="L245" i="4"/>
  <c r="M245" i="4"/>
  <c r="N245" i="4"/>
  <c r="O245" i="4"/>
  <c r="P245" i="4"/>
  <c r="Q245" i="4"/>
  <c r="R245" i="4"/>
  <c r="S245" i="4"/>
  <c r="C246" i="4"/>
  <c r="D246" i="4"/>
  <c r="E246" i="4"/>
  <c r="F246" i="4"/>
  <c r="G246" i="4"/>
  <c r="H246" i="4"/>
  <c r="I246" i="4"/>
  <c r="J246" i="4"/>
  <c r="L246" i="4"/>
  <c r="M246" i="4"/>
  <c r="N246" i="4"/>
  <c r="O246" i="4"/>
  <c r="P246" i="4"/>
  <c r="Q246" i="4"/>
  <c r="R246" i="4"/>
  <c r="S246" i="4"/>
  <c r="C247" i="4"/>
  <c r="D247" i="4"/>
  <c r="E247" i="4"/>
  <c r="F247" i="4"/>
  <c r="G247" i="4"/>
  <c r="H247" i="4"/>
  <c r="I247" i="4"/>
  <c r="J247" i="4"/>
  <c r="L247" i="4"/>
  <c r="M247" i="4"/>
  <c r="N247" i="4"/>
  <c r="O247" i="4"/>
  <c r="P247" i="4"/>
  <c r="Q247" i="4"/>
  <c r="R247" i="4"/>
  <c r="S247" i="4"/>
  <c r="C248" i="4"/>
  <c r="D248" i="4"/>
  <c r="E248" i="4"/>
  <c r="F248" i="4"/>
  <c r="G248" i="4"/>
  <c r="H248" i="4"/>
  <c r="I248" i="4"/>
  <c r="J248" i="4"/>
  <c r="L248" i="4"/>
  <c r="M248" i="4"/>
  <c r="N248" i="4"/>
  <c r="O248" i="4"/>
  <c r="P248" i="4"/>
  <c r="Q248" i="4"/>
  <c r="R248" i="4"/>
  <c r="S248" i="4"/>
  <c r="C249" i="4"/>
  <c r="D249" i="4"/>
  <c r="E249" i="4"/>
  <c r="F249" i="4"/>
  <c r="G249" i="4"/>
  <c r="H249" i="4"/>
  <c r="I249" i="4"/>
  <c r="J249" i="4"/>
  <c r="L249" i="4"/>
  <c r="M249" i="4"/>
  <c r="N249" i="4"/>
  <c r="O249" i="4"/>
  <c r="P249" i="4"/>
  <c r="Q249" i="4"/>
  <c r="R249" i="4"/>
  <c r="S249" i="4"/>
  <c r="C250" i="4"/>
  <c r="D250" i="4"/>
  <c r="E250" i="4"/>
  <c r="F250" i="4"/>
  <c r="G250" i="4"/>
  <c r="H250" i="4"/>
  <c r="I250" i="4"/>
  <c r="J250" i="4"/>
  <c r="L250" i="4"/>
  <c r="M250" i="4"/>
  <c r="N250" i="4"/>
  <c r="O250" i="4"/>
  <c r="P250" i="4"/>
  <c r="Q250" i="4"/>
  <c r="R250" i="4"/>
  <c r="S250" i="4"/>
  <c r="C251" i="4"/>
  <c r="D251" i="4"/>
  <c r="E251" i="4"/>
  <c r="F251" i="4"/>
  <c r="G251" i="4"/>
  <c r="H251" i="4"/>
  <c r="I251" i="4"/>
  <c r="J251" i="4"/>
  <c r="L251" i="4"/>
  <c r="M251" i="4"/>
  <c r="N251" i="4"/>
  <c r="O251" i="4"/>
  <c r="P251" i="4"/>
  <c r="Q251" i="4"/>
  <c r="R251" i="4"/>
  <c r="S251" i="4"/>
  <c r="C252" i="4"/>
  <c r="D252" i="4"/>
  <c r="E252" i="4"/>
  <c r="F252" i="4"/>
  <c r="G252" i="4"/>
  <c r="H252" i="4"/>
  <c r="I252" i="4"/>
  <c r="J252" i="4"/>
  <c r="L252" i="4"/>
  <c r="M252" i="4"/>
  <c r="N252" i="4"/>
  <c r="O252" i="4"/>
  <c r="P252" i="4"/>
  <c r="Q252" i="4"/>
  <c r="R252" i="4"/>
  <c r="S252" i="4"/>
  <c r="C253" i="4"/>
  <c r="D253" i="4"/>
  <c r="E253" i="4"/>
  <c r="F253" i="4"/>
  <c r="G253" i="4"/>
  <c r="H253" i="4"/>
  <c r="I253" i="4"/>
  <c r="J253" i="4"/>
  <c r="L253" i="4"/>
  <c r="M253" i="4"/>
  <c r="N253" i="4"/>
  <c r="O253" i="4"/>
  <c r="P253" i="4"/>
  <c r="Q253" i="4"/>
  <c r="R253" i="4"/>
  <c r="S253" i="4"/>
  <c r="C254" i="4"/>
  <c r="D254" i="4"/>
  <c r="E254" i="4"/>
  <c r="F254" i="4"/>
  <c r="G254" i="4"/>
  <c r="H254" i="4"/>
  <c r="I254" i="4"/>
  <c r="J254" i="4"/>
  <c r="L254" i="4"/>
  <c r="M254" i="4"/>
  <c r="N254" i="4"/>
  <c r="O254" i="4"/>
  <c r="P254" i="4"/>
  <c r="Q254" i="4"/>
  <c r="R254" i="4"/>
  <c r="S254" i="4"/>
  <c r="C255" i="4"/>
  <c r="D255" i="4"/>
  <c r="E255" i="4"/>
  <c r="F255" i="4"/>
  <c r="G255" i="4"/>
  <c r="H255" i="4"/>
  <c r="I255" i="4"/>
  <c r="J255" i="4"/>
  <c r="L255" i="4"/>
  <c r="M255" i="4"/>
  <c r="N255" i="4"/>
  <c r="O255" i="4"/>
  <c r="P255" i="4"/>
  <c r="Q255" i="4"/>
  <c r="R255" i="4"/>
  <c r="S255" i="4"/>
  <c r="AF12" i="3" l="1"/>
  <c r="AD21" i="3"/>
  <c r="AD19" i="3"/>
  <c r="AD18" i="3"/>
  <c r="AC21" i="3"/>
  <c r="AC19" i="3"/>
  <c r="AC18" i="3"/>
  <c r="I21" i="3" l="1"/>
  <c r="I20" i="3"/>
  <c r="I19" i="3"/>
  <c r="I18" i="3"/>
  <c r="I17" i="3"/>
  <c r="I16" i="3"/>
  <c r="I15" i="3"/>
  <c r="I14" i="3"/>
  <c r="I13" i="3"/>
  <c r="I12" i="3"/>
  <c r="Q32" i="1" l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E8" i="1" s="1"/>
  <c r="AO174" i="3"/>
  <c r="F169" i="3"/>
  <c r="F177" i="3" s="1"/>
  <c r="AO181" i="3"/>
  <c r="F166" i="3"/>
  <c r="AM165" i="3"/>
  <c r="F178" i="3" s="1"/>
  <c r="F48" i="3"/>
  <c r="N48" i="3" s="1"/>
  <c r="AT55" i="3"/>
  <c r="AS54" i="3"/>
  <c r="AT54" i="3" s="1"/>
  <c r="AS53" i="3"/>
  <c r="AT53" i="3" s="1"/>
  <c r="AS52" i="3"/>
  <c r="AT52" i="3" s="1"/>
  <c r="AS51" i="3"/>
  <c r="AT51" i="3" s="1"/>
  <c r="AS50" i="3"/>
  <c r="AT50" i="3" s="1"/>
  <c r="AS49" i="3"/>
  <c r="AT49" i="3" s="1"/>
  <c r="AS48" i="3"/>
  <c r="AT48" i="3" s="1"/>
  <c r="AT47" i="3"/>
  <c r="AM55" i="3" s="1"/>
  <c r="CK18" i="2"/>
  <c r="L14" i="2"/>
  <c r="K14" i="2"/>
  <c r="L13" i="2"/>
  <c r="K13" i="2"/>
  <c r="C17" i="1"/>
  <c r="E17" i="1" s="1"/>
  <c r="C16" i="1"/>
  <c r="E16" i="1" s="1"/>
  <c r="C15" i="1"/>
  <c r="E15" i="1" s="1"/>
  <c r="C14" i="1"/>
  <c r="E14" i="1" s="1"/>
  <c r="C13" i="1"/>
  <c r="E13" i="1" s="1"/>
  <c r="C11" i="1"/>
  <c r="E11" i="1" s="1"/>
  <c r="C10" i="1"/>
  <c r="E10" i="1" s="1"/>
  <c r="C9" i="1"/>
  <c r="E9" i="1" s="1"/>
  <c r="N28" i="3" l="1"/>
  <c r="AZ27" i="3" s="1"/>
  <c r="BA27" i="3" s="1"/>
  <c r="N38" i="3" s="1"/>
  <c r="N39" i="3" s="1"/>
  <c r="N15" i="1"/>
  <c r="P15" i="1"/>
  <c r="N11" i="1"/>
  <c r="P11" i="1"/>
  <c r="P16" i="1"/>
  <c r="N16" i="1"/>
  <c r="P10" i="1"/>
  <c r="N10" i="1"/>
  <c r="K14" i="3" s="1"/>
  <c r="P13" i="1"/>
  <c r="N13" i="1"/>
  <c r="P17" i="1"/>
  <c r="N17" i="1"/>
  <c r="P14" i="1"/>
  <c r="N14" i="1"/>
  <c r="N9" i="1"/>
  <c r="P9" i="1"/>
  <c r="K45" i="2"/>
  <c r="K47" i="2" s="1"/>
  <c r="K41" i="2"/>
  <c r="K43" i="2" s="1"/>
  <c r="L41" i="2"/>
  <c r="L43" i="2" s="1"/>
  <c r="L45" i="2"/>
  <c r="L47" i="2" s="1"/>
  <c r="AZ36" i="3"/>
  <c r="AM47" i="3"/>
  <c r="D15" i="1"/>
  <c r="J19" i="3"/>
  <c r="L19" i="3" s="1"/>
  <c r="H15" i="1"/>
  <c r="F15" i="1"/>
  <c r="F17" i="1"/>
  <c r="J21" i="3"/>
  <c r="L21" i="3" s="1"/>
  <c r="D17" i="1"/>
  <c r="H17" i="1"/>
  <c r="J20" i="3"/>
  <c r="L20" i="3" s="1"/>
  <c r="D16" i="1"/>
  <c r="F16" i="1"/>
  <c r="H16" i="1"/>
  <c r="F14" i="1"/>
  <c r="H14" i="1"/>
  <c r="D14" i="1"/>
  <c r="J18" i="3"/>
  <c r="L18" i="3" s="1"/>
  <c r="F13" i="1"/>
  <c r="J17" i="3"/>
  <c r="L17" i="3" s="1"/>
  <c r="D13" i="1"/>
  <c r="H13" i="1"/>
  <c r="D12" i="1"/>
  <c r="J16" i="3"/>
  <c r="D11" i="1"/>
  <c r="J15" i="3"/>
  <c r="L15" i="3" s="1"/>
  <c r="F11" i="1"/>
  <c r="H11" i="1"/>
  <c r="F10" i="1"/>
  <c r="J14" i="3"/>
  <c r="L14" i="3" s="1"/>
  <c r="D10" i="1"/>
  <c r="H10" i="1"/>
  <c r="F9" i="1"/>
  <c r="H9" i="1"/>
  <c r="D9" i="1"/>
  <c r="J13" i="3"/>
  <c r="F8" i="1"/>
  <c r="D8" i="1"/>
  <c r="Q56" i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F179" i="3"/>
  <c r="N163" i="3" s="1"/>
  <c r="N173" i="3" s="1"/>
  <c r="K15" i="3" l="1"/>
  <c r="L16" i="3"/>
  <c r="K16" i="3"/>
  <c r="K21" i="3"/>
  <c r="K18" i="3"/>
  <c r="K17" i="3"/>
  <c r="K20" i="3"/>
  <c r="K19" i="3"/>
  <c r="N30" i="3"/>
  <c r="N35" i="3" s="1"/>
  <c r="BA36" i="3"/>
  <c r="J13" i="1"/>
  <c r="I13" i="1"/>
  <c r="I15" i="1"/>
  <c r="AA19" i="3" s="1"/>
  <c r="J11" i="1"/>
  <c r="AB15" i="3" s="1"/>
  <c r="J17" i="1"/>
  <c r="AB21" i="3" s="1"/>
  <c r="I17" i="1"/>
  <c r="AA21" i="3" s="1"/>
  <c r="I11" i="1"/>
  <c r="AA15" i="3" s="1"/>
  <c r="J10" i="1"/>
  <c r="AB14" i="3" s="1"/>
  <c r="I9" i="1"/>
  <c r="K13" i="3" s="1"/>
  <c r="I10" i="1"/>
  <c r="AA14" i="3" s="1"/>
  <c r="H12" i="1"/>
  <c r="J12" i="1" s="1"/>
  <c r="J15" i="1"/>
  <c r="AB19" i="3" s="1"/>
  <c r="F12" i="1"/>
  <c r="I12" i="1" s="1"/>
  <c r="I16" i="1"/>
  <c r="I14" i="1"/>
  <c r="J16" i="1"/>
  <c r="J14" i="1"/>
  <c r="J8" i="1"/>
  <c r="J9" i="1"/>
  <c r="L13" i="3" s="1"/>
  <c r="I8" i="1"/>
  <c r="K12" i="3" s="1"/>
  <c r="AA12" i="3" s="1"/>
  <c r="L12" i="3" l="1"/>
  <c r="AB12" i="3" s="1"/>
  <c r="AB13" i="3"/>
  <c r="Q12" i="3"/>
  <c r="AA13" i="3"/>
  <c r="F49" i="3" s="1"/>
  <c r="AA20" i="3"/>
  <c r="AC20" i="3"/>
  <c r="AB20" i="3"/>
  <c r="AD20" i="3"/>
  <c r="AA16" i="3"/>
  <c r="AC16" i="3"/>
  <c r="AA17" i="3"/>
  <c r="AC17" i="3"/>
  <c r="AB16" i="3"/>
  <c r="AD16" i="3"/>
  <c r="AB17" i="3"/>
  <c r="AD17" i="3"/>
  <c r="AC14" i="3"/>
  <c r="AC15" i="3"/>
  <c r="AC12" i="3"/>
  <c r="AD14" i="3"/>
  <c r="AD15" i="3"/>
  <c r="AD12" i="3" l="1"/>
  <c r="G49" i="3"/>
  <c r="G50" i="3" s="1"/>
  <c r="AD13" i="3"/>
  <c r="N31" i="3"/>
  <c r="K60" i="3" s="1"/>
  <c r="AB22" i="3"/>
  <c r="AB23" i="3" s="1"/>
  <c r="G30" i="3" s="1"/>
  <c r="N49" i="3"/>
  <c r="N50" i="3" s="1"/>
  <c r="K64" i="3" s="1"/>
  <c r="K62" i="3"/>
  <c r="AC13" i="3"/>
  <c r="G28" i="3"/>
  <c r="N46" i="3"/>
  <c r="AA22" i="3"/>
  <c r="AA23" i="3" s="1"/>
  <c r="F30" i="3" s="1"/>
  <c r="AC22" i="3" l="1"/>
  <c r="AD22" i="3"/>
  <c r="G38" i="3" s="1"/>
  <c r="AA24" i="3"/>
  <c r="G35" i="3"/>
  <c r="K66" i="3"/>
  <c r="F50" i="3"/>
  <c r="F51" i="3" s="1"/>
  <c r="G64" i="3" s="1"/>
  <c r="F35" i="3"/>
  <c r="AA26" i="3"/>
  <c r="G51" i="3"/>
  <c r="I64" i="3" s="1"/>
  <c r="AO53" i="3"/>
  <c r="AB25" i="3"/>
  <c r="AC23" i="3" l="1"/>
  <c r="AC24" i="3" s="1"/>
  <c r="F38" i="3"/>
  <c r="F39" i="3" s="1"/>
  <c r="AG12" i="3"/>
  <c r="AD23" i="3"/>
  <c r="G39" i="3" s="1"/>
  <c r="F31" i="3"/>
  <c r="G60" i="3" s="1"/>
  <c r="AA25" i="3"/>
  <c r="H26" i="3" s="1"/>
  <c r="AB24" i="3"/>
  <c r="G31" i="3"/>
  <c r="AD24" i="3" l="1"/>
  <c r="F40" i="3"/>
  <c r="G62" i="3" s="1"/>
  <c r="G66" i="3" s="1"/>
  <c r="AM37" i="3"/>
  <c r="I60" i="3"/>
  <c r="AO46" i="3"/>
  <c r="G40" i="3" l="1"/>
  <c r="I62" i="3" s="1"/>
  <c r="I66" i="3" s="1"/>
</calcChain>
</file>

<file path=xl/sharedStrings.xml><?xml version="1.0" encoding="utf-8"?>
<sst xmlns="http://schemas.openxmlformats.org/spreadsheetml/2006/main" count="364" uniqueCount="193">
  <si>
    <t>Home</t>
  </si>
  <si>
    <t>Summer</t>
  </si>
  <si>
    <t>Load</t>
  </si>
  <si>
    <t>Winter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</si>
  <si>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</si>
  <si>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</si>
  <si>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</si>
  <si>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</si>
  <si>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</si>
  <si>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</si>
  <si>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</si>
  <si>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</si>
  <si>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</si>
  <si>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</si>
  <si>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Transformer Sizing Utility developed solely by HiLine Engineering, LLC</t>
  </si>
  <si>
    <t>Guide for Estimating Load on Transformer Based on Number of Residential Homes</t>
  </si>
  <si>
    <t>BASE LOAD IN kVA</t>
  </si>
  <si>
    <t>Number of Homes</t>
  </si>
  <si>
    <t>Home Size</t>
  </si>
  <si>
    <t>Less Than 1500 Sq. ft.</t>
  </si>
  <si>
    <t>1501 to 3000 Sq. ft.</t>
  </si>
  <si>
    <t>Greater than 3000 Sq. ft.</t>
  </si>
  <si>
    <t>COOLING LOAD IN kVA</t>
  </si>
  <si>
    <t>Space Cooled</t>
  </si>
  <si>
    <t>HEATING LOAD IN kVA</t>
  </si>
  <si>
    <t>Space Heated</t>
  </si>
  <si>
    <t>A/C (1=Yes, 2=No)</t>
  </si>
  <si>
    <t>Electric Heat (1=Yes, 2=No)</t>
  </si>
  <si>
    <t xml:space="preserve">      Xfmr Options</t>
  </si>
  <si>
    <t>Xfmr Choice</t>
  </si>
  <si>
    <t>Service Lines</t>
  </si>
  <si>
    <t>TRANSFORMER                                                             Voltage Drop</t>
  </si>
  <si>
    <r>
      <t>Number of Homes Served</t>
    </r>
    <r>
      <rPr>
        <vertAlign val="subscript"/>
        <sz val="10"/>
        <rFont val="Arial"/>
        <family val="2"/>
      </rPr>
      <t xml:space="preserve">XFMR </t>
    </r>
    <r>
      <rPr>
        <sz val="10"/>
        <rFont val="Arial"/>
        <family val="2"/>
      </rPr>
      <t>=</t>
    </r>
  </si>
  <si>
    <t>Transformer</t>
  </si>
  <si>
    <t>Secondary Line</t>
  </si>
  <si>
    <t>Transformer Size (kVA) =</t>
  </si>
  <si>
    <t>Load (kVA) =</t>
  </si>
  <si>
    <t># Homes Served</t>
  </si>
  <si>
    <t># Homes on Xfmr</t>
  </si>
  <si>
    <t>Xfmr Rounded Load</t>
  </si>
  <si>
    <r>
      <t>Voltage Drop</t>
    </r>
    <r>
      <rPr>
        <vertAlign val="subscript"/>
        <sz val="10"/>
        <rFont val="Arial"/>
        <family val="2"/>
      </rPr>
      <t>XFMR</t>
    </r>
    <r>
      <rPr>
        <sz val="10"/>
        <rFont val="Arial"/>
        <family val="2"/>
      </rPr>
      <t xml:space="preserve"> (%) =</t>
    </r>
  </si>
  <si>
    <t>(use this number to search in voltage drop table, should I be doing this?)</t>
  </si>
  <si>
    <t>TOTAL                                                                                                                                                                                                 Voltage Drop</t>
  </si>
  <si>
    <t>SECONDARY                                                             Voltage Drop</t>
  </si>
  <si>
    <r>
      <t>Number of Homes Served</t>
    </r>
    <r>
      <rPr>
        <vertAlign val="subscript"/>
        <sz val="10"/>
        <rFont val="Arial"/>
        <family val="2"/>
      </rPr>
      <t>SEC</t>
    </r>
    <r>
      <rPr>
        <sz val="10"/>
        <rFont val="Arial"/>
        <family val="2"/>
      </rPr>
      <t xml:space="preserve"> =</t>
    </r>
  </si>
  <si>
    <r>
      <t>Type of Wire</t>
    </r>
    <r>
      <rPr>
        <vertAlign val="subscript"/>
        <sz val="10"/>
        <rFont val="Arial"/>
        <family val="2"/>
      </rPr>
      <t xml:space="preserve">SEC </t>
    </r>
    <r>
      <rPr>
        <sz val="10"/>
        <rFont val="Arial"/>
        <family val="2"/>
      </rPr>
      <t>=</t>
    </r>
  </si>
  <si>
    <r>
      <t>Length</t>
    </r>
    <r>
      <rPr>
        <vertAlign val="subscript"/>
        <sz val="10"/>
        <rFont val="Arial"/>
        <family val="2"/>
      </rPr>
      <t xml:space="preserve">SEC </t>
    </r>
    <r>
      <rPr>
        <sz val="10"/>
        <rFont val="Arial"/>
        <family val="2"/>
      </rPr>
      <t>(ft.) =</t>
    </r>
  </si>
  <si>
    <r>
      <t>Load (kVA)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=</t>
    </r>
  </si>
  <si>
    <t xml:space="preserve">       Wire Options</t>
  </si>
  <si>
    <t>Sec Wire Choice</t>
  </si>
  <si>
    <t># Homes on Sec</t>
  </si>
  <si>
    <t>Sec Rounded Load</t>
  </si>
  <si>
    <t>Secondary Home Serrved</t>
  </si>
  <si>
    <r>
      <t>Voltage Drop</t>
    </r>
    <r>
      <rPr>
        <vertAlign val="subscript"/>
        <sz val="10"/>
        <rFont val="Arial"/>
        <family val="2"/>
      </rPr>
      <t>100</t>
    </r>
    <r>
      <rPr>
        <sz val="10"/>
        <rFont val="Arial"/>
        <family val="2"/>
      </rPr>
      <t xml:space="preserve"> (%) =</t>
    </r>
  </si>
  <si>
    <t>4 TPX</t>
  </si>
  <si>
    <r>
      <t>Voltage Drop</t>
    </r>
    <r>
      <rPr>
        <vertAlign val="subscript"/>
        <sz val="10"/>
        <rFont val="Arial"/>
        <family val="2"/>
      </rPr>
      <t>SEC</t>
    </r>
    <r>
      <rPr>
        <sz val="10"/>
        <rFont val="Arial"/>
        <family val="2"/>
      </rPr>
      <t xml:space="preserve"> (%) =</t>
    </r>
  </si>
  <si>
    <t>2 TPX</t>
  </si>
  <si>
    <t>1/0 TPX</t>
  </si>
  <si>
    <t>4/0 TPX</t>
  </si>
  <si>
    <t>Length of Sec.</t>
  </si>
  <si>
    <t>2/0 URD</t>
  </si>
  <si>
    <t>4/0 URD</t>
  </si>
  <si>
    <t>SERVICE                                                             Voltage Drop</t>
  </si>
  <si>
    <t>350 URD</t>
  </si>
  <si>
    <t>Serv. Wire Choice</t>
  </si>
  <si>
    <t># Homes on Serv</t>
  </si>
  <si>
    <t>Serv Rounded Load</t>
  </si>
  <si>
    <t>500 URD</t>
  </si>
  <si>
    <t>Length of Serv.</t>
  </si>
  <si>
    <r>
      <t>Type of Wire</t>
    </r>
    <r>
      <rPr>
        <vertAlign val="subscript"/>
        <sz val="10"/>
        <rFont val="Arial"/>
        <family val="2"/>
      </rPr>
      <t xml:space="preserve">SERV </t>
    </r>
    <r>
      <rPr>
        <sz val="10"/>
        <rFont val="Arial"/>
        <family val="2"/>
      </rPr>
      <t>=</t>
    </r>
  </si>
  <si>
    <r>
      <t>Length</t>
    </r>
    <r>
      <rPr>
        <vertAlign val="subscript"/>
        <sz val="10"/>
        <rFont val="Arial"/>
        <family val="2"/>
      </rPr>
      <t xml:space="preserve">SERV </t>
    </r>
    <r>
      <rPr>
        <sz val="10"/>
        <rFont val="Arial"/>
        <family val="2"/>
      </rPr>
      <t>(ft.) =</t>
    </r>
  </si>
  <si>
    <t>Load (kVA)=</t>
  </si>
  <si>
    <r>
      <t>Voltage Drop</t>
    </r>
    <r>
      <rPr>
        <vertAlign val="subscript"/>
        <sz val="10"/>
        <rFont val="Arial"/>
        <family val="2"/>
      </rPr>
      <t>SERV</t>
    </r>
    <r>
      <rPr>
        <sz val="10"/>
        <rFont val="Arial"/>
        <family val="2"/>
      </rPr>
      <t xml:space="preserve"> (%) =</t>
    </r>
  </si>
  <si>
    <r>
      <t>MAX Voltage Drop</t>
    </r>
    <r>
      <rPr>
        <vertAlign val="subscript"/>
        <sz val="16"/>
        <rFont val="Arial"/>
        <family val="2"/>
      </rPr>
      <t>SEC</t>
    </r>
    <r>
      <rPr>
        <sz val="16"/>
        <rFont val="Arial"/>
        <family val="2"/>
      </rPr>
      <t xml:space="preserve"> (%) =</t>
    </r>
  </si>
  <si>
    <r>
      <t>Number of Homes Served</t>
    </r>
    <r>
      <rPr>
        <vertAlign val="subscript"/>
        <sz val="10"/>
        <rFont val="Arial"/>
        <family val="2"/>
      </rPr>
      <t>SERV</t>
    </r>
    <r>
      <rPr>
        <sz val="10"/>
        <rFont val="Arial"/>
        <family val="2"/>
      </rPr>
      <t xml:space="preserve"> =</t>
    </r>
  </si>
  <si>
    <r>
      <t>Number of Homes Served</t>
    </r>
    <r>
      <rPr>
        <vertAlign val="subscript"/>
        <sz val="16"/>
        <rFont val="Arial"/>
        <family val="2"/>
      </rPr>
      <t>SEC</t>
    </r>
    <r>
      <rPr>
        <sz val="16"/>
        <rFont val="Arial"/>
        <family val="2"/>
      </rPr>
      <t xml:space="preserve"> =</t>
    </r>
  </si>
  <si>
    <r>
      <t>Type of Wire</t>
    </r>
    <r>
      <rPr>
        <vertAlign val="subscript"/>
        <sz val="16"/>
        <rFont val="Arial"/>
        <family val="2"/>
      </rPr>
      <t xml:space="preserve">SERV </t>
    </r>
    <r>
      <rPr>
        <sz val="16"/>
        <rFont val="Arial"/>
        <family val="2"/>
      </rPr>
      <t>=</t>
    </r>
  </si>
  <si>
    <r>
      <t>Voltage Drop</t>
    </r>
    <r>
      <rPr>
        <vertAlign val="subscript"/>
        <sz val="16"/>
        <rFont val="Arial"/>
        <family val="2"/>
      </rPr>
      <t>100</t>
    </r>
    <r>
      <rPr>
        <sz val="16"/>
        <rFont val="Arial"/>
        <family val="2"/>
      </rPr>
      <t xml:space="preserve"> (%) =</t>
    </r>
  </si>
  <si>
    <r>
      <t>MAX Length</t>
    </r>
    <r>
      <rPr>
        <vertAlign val="subscript"/>
        <sz val="16"/>
        <rFont val="Arial"/>
        <family val="2"/>
      </rPr>
      <t xml:space="preserve">SEC </t>
    </r>
    <r>
      <rPr>
        <sz val="16"/>
        <rFont val="Arial"/>
        <family val="2"/>
      </rPr>
      <t>(ft.) =</t>
    </r>
  </si>
  <si>
    <t>1/0 URD</t>
  </si>
  <si>
    <r>
      <t>Voltage Drop</t>
    </r>
    <r>
      <rPr>
        <vertAlign val="subscript"/>
        <sz val="10"/>
        <rFont val="Arial"/>
        <family val="2"/>
      </rPr>
      <t>TOT</t>
    </r>
    <r>
      <rPr>
        <sz val="10"/>
        <rFont val="Arial"/>
        <family val="2"/>
      </rPr>
      <t xml:space="preserve"> (%) =</t>
    </r>
  </si>
  <si>
    <r>
      <t>MAX Voltage Drop</t>
    </r>
    <r>
      <rPr>
        <vertAlign val="subscript"/>
        <sz val="10"/>
        <rFont val="Arial"/>
        <family val="2"/>
      </rPr>
      <t>SEC</t>
    </r>
    <r>
      <rPr>
        <sz val="10"/>
        <rFont val="Arial"/>
        <family val="2"/>
      </rPr>
      <t xml:space="preserve"> (%) =</t>
    </r>
  </si>
  <si>
    <r>
      <t>MAX VD</t>
    </r>
    <r>
      <rPr>
        <b/>
        <vertAlign val="subscript"/>
        <sz val="10"/>
        <rFont val="Arial"/>
        <family val="2"/>
      </rPr>
      <t>SEC</t>
    </r>
    <r>
      <rPr>
        <b/>
        <sz val="10"/>
        <rFont val="Arial"/>
        <family val="2"/>
      </rPr>
      <t xml:space="preserve"> = VD</t>
    </r>
    <r>
      <rPr>
        <b/>
        <vertAlign val="subscript"/>
        <sz val="10"/>
        <rFont val="Arial"/>
        <family val="2"/>
      </rPr>
      <t>TOT</t>
    </r>
    <r>
      <rPr>
        <b/>
        <sz val="10"/>
        <rFont val="Arial"/>
        <family val="2"/>
      </rPr>
      <t xml:space="preserve"> - (VD</t>
    </r>
    <r>
      <rPr>
        <b/>
        <vertAlign val="subscript"/>
        <sz val="10"/>
        <rFont val="Arial"/>
        <family val="2"/>
      </rPr>
      <t>XFMR</t>
    </r>
    <r>
      <rPr>
        <b/>
        <sz val="10"/>
        <rFont val="Arial"/>
        <family val="2"/>
      </rPr>
      <t xml:space="preserve"> + VD</t>
    </r>
    <r>
      <rPr>
        <b/>
        <vertAlign val="subscript"/>
        <sz val="10"/>
        <rFont val="Arial"/>
        <family val="2"/>
      </rPr>
      <t>SERV</t>
    </r>
    <r>
      <rPr>
        <b/>
        <sz val="10"/>
        <rFont val="Arial"/>
        <family val="2"/>
      </rPr>
      <t>)</t>
    </r>
  </si>
  <si>
    <t>kVA</t>
  </si>
  <si>
    <t>Tons</t>
  </si>
  <si>
    <t>Cooling</t>
  </si>
  <si>
    <t>Heating</t>
  </si>
  <si>
    <t>Summer Load</t>
  </si>
  <si>
    <t>Calculated</t>
  </si>
  <si>
    <t>Winter Load</t>
  </si>
  <si>
    <t>Square</t>
  </si>
  <si>
    <t>Feet</t>
  </si>
  <si>
    <t>Homes</t>
  </si>
  <si>
    <t>Served</t>
  </si>
  <si>
    <t>by Transf.</t>
  </si>
  <si>
    <t>Total</t>
  </si>
  <si>
    <t>Diversfied Total</t>
  </si>
  <si>
    <t>Secondary</t>
  </si>
  <si>
    <t>Served by</t>
  </si>
  <si>
    <t>Service</t>
  </si>
  <si>
    <t>Pedestal</t>
  </si>
  <si>
    <t>Amps</t>
  </si>
  <si>
    <t>(kVA)</t>
  </si>
  <si>
    <t>Secondary Conductors</t>
  </si>
  <si>
    <t>Transformer kVA</t>
  </si>
  <si>
    <t>% Voltage Drop Through 100 Feet of</t>
  </si>
  <si>
    <t>% Voltage Drop through Padmounted Transf.</t>
  </si>
  <si>
    <t>VOLTAGE DROP TABLE</t>
  </si>
  <si>
    <t>Suggested Transf</t>
  </si>
  <si>
    <t>SERVICE                                     Voltage Drop</t>
  </si>
  <si>
    <r>
      <t>Home Served</t>
    </r>
    <r>
      <rPr>
        <vertAlign val="subscript"/>
        <sz val="10"/>
        <rFont val="Arial"/>
        <family val="2"/>
      </rPr>
      <t xml:space="preserve">SERV </t>
    </r>
    <r>
      <rPr>
        <sz val="10"/>
        <rFont val="Arial"/>
        <family val="2"/>
      </rPr>
      <t>=</t>
    </r>
  </si>
  <si>
    <t>Home Square Footage</t>
  </si>
  <si>
    <t>Base</t>
  </si>
  <si>
    <t>AC</t>
  </si>
  <si>
    <t>Size</t>
  </si>
  <si>
    <t>Heat</t>
  </si>
  <si>
    <t xml:space="preserve">VOLTAGE FLICKER DATA </t>
  </si>
  <si>
    <t>% Voltage Flicker Through 100 Feet of Secondary Cable</t>
  </si>
  <si>
    <t>A/C tons</t>
  </si>
  <si>
    <t>LRA</t>
  </si>
  <si>
    <t>Sec. Wire Selection</t>
  </si>
  <si>
    <t>Serv. Wire Selection</t>
  </si>
  <si>
    <t>Serv. Selection</t>
  </si>
  <si>
    <t>AC Options</t>
  </si>
  <si>
    <t>AC Selection</t>
  </si>
  <si>
    <t>Xfmr Options</t>
  </si>
  <si>
    <t>Xfmr Seclection</t>
  </si>
  <si>
    <t>Sec Options</t>
  </si>
  <si>
    <t>Sec. Seclection</t>
  </si>
  <si>
    <t>Serv Options</t>
  </si>
  <si>
    <t>Service. Seclection</t>
  </si>
  <si>
    <t>Transromer Calculations</t>
  </si>
  <si>
    <t>TRANSFORMER                                                             Voltage Flicker</t>
  </si>
  <si>
    <t>A/C Size (Tons) =</t>
  </si>
  <si>
    <t>Lock Rotor Amps (LRA) =</t>
  </si>
  <si>
    <t>SECONDARY                                                             Voltage Flicker</t>
  </si>
  <si>
    <t>SERVICE                                                             Voltage Flicker</t>
  </si>
  <si>
    <t>AC Load (tons)</t>
  </si>
  <si>
    <t>Heat Pump (tons)</t>
  </si>
  <si>
    <t>2x Unit</t>
  </si>
  <si>
    <t>Transformer Sizing, Voltage Drop, and Voltage Flicker Analysis
Developed by Hi-Line Engineering, a GDS Company</t>
  </si>
  <si>
    <t/>
  </si>
  <si>
    <t>Only use this section to manually input loading for each home. Manual load values will override the calculated values ot the left.</t>
  </si>
  <si>
    <r>
      <t>Voltage Flicker</t>
    </r>
    <r>
      <rPr>
        <vertAlign val="subscript"/>
        <sz val="10"/>
        <rFont val="Arial"/>
        <family val="2"/>
      </rPr>
      <t>XFMR</t>
    </r>
    <r>
      <rPr>
        <sz val="11"/>
        <color theme="1"/>
        <rFont val="Arial"/>
        <family val="2"/>
      </rPr>
      <t xml:space="preserve"> (%) =</t>
    </r>
  </si>
  <si>
    <r>
      <t>Type of Wire</t>
    </r>
    <r>
      <rPr>
        <vertAlign val="subscript"/>
        <sz val="10"/>
        <rFont val="Arial"/>
        <family val="2"/>
      </rPr>
      <t xml:space="preserve">SEC </t>
    </r>
    <r>
      <rPr>
        <sz val="11"/>
        <color theme="1"/>
        <rFont val="Arial"/>
        <family val="2"/>
      </rPr>
      <t>=</t>
    </r>
  </si>
  <si>
    <r>
      <t>Voltage Flicker</t>
    </r>
    <r>
      <rPr>
        <vertAlign val="subscript"/>
        <sz val="10"/>
        <rFont val="Arial"/>
        <family val="2"/>
      </rPr>
      <t>100</t>
    </r>
    <r>
      <rPr>
        <sz val="11"/>
        <color theme="1"/>
        <rFont val="Arial"/>
        <family val="2"/>
      </rPr>
      <t xml:space="preserve"> (%) =</t>
    </r>
  </si>
  <si>
    <r>
      <t>Voltage Flicker</t>
    </r>
    <r>
      <rPr>
        <vertAlign val="subscript"/>
        <sz val="10"/>
        <rFont val="Arial"/>
        <family val="2"/>
      </rPr>
      <t>SEC</t>
    </r>
    <r>
      <rPr>
        <sz val="11"/>
        <color theme="1"/>
        <rFont val="Arial"/>
        <family val="2"/>
      </rPr>
      <t xml:space="preserve"> (%) =</t>
    </r>
  </si>
  <si>
    <r>
      <t>Type of Wire</t>
    </r>
    <r>
      <rPr>
        <vertAlign val="subscript"/>
        <sz val="10"/>
        <rFont val="Arial"/>
        <family val="2"/>
      </rPr>
      <t xml:space="preserve">SERV </t>
    </r>
    <r>
      <rPr>
        <sz val="11"/>
        <color theme="1"/>
        <rFont val="Arial"/>
        <family val="2"/>
      </rPr>
      <t>=</t>
    </r>
  </si>
  <si>
    <r>
      <t>Voltage Flicker</t>
    </r>
    <r>
      <rPr>
        <vertAlign val="subscript"/>
        <sz val="10"/>
        <rFont val="Arial"/>
        <family val="2"/>
      </rPr>
      <t>SERV</t>
    </r>
    <r>
      <rPr>
        <sz val="11"/>
        <color theme="1"/>
        <rFont val="Arial"/>
        <family val="2"/>
      </rPr>
      <t xml:space="preserve"> (%) =</t>
    </r>
  </si>
  <si>
    <r>
      <t>R</t>
    </r>
    <r>
      <rPr>
        <vertAlign val="subscript"/>
        <sz val="11"/>
        <color theme="1"/>
        <rFont val="Calibri"/>
        <family val="2"/>
        <scheme val="minor"/>
      </rPr>
      <t>T</t>
    </r>
  </si>
  <si>
    <r>
      <t>X</t>
    </r>
    <r>
      <rPr>
        <vertAlign val="subscript"/>
        <sz val="11"/>
        <color theme="1"/>
        <rFont val="Calibri"/>
        <family val="2"/>
        <scheme val="minor"/>
      </rPr>
      <t>T</t>
    </r>
  </si>
  <si>
    <r>
      <t>Z</t>
    </r>
    <r>
      <rPr>
        <vertAlign val="subscript"/>
        <sz val="11"/>
        <color theme="1"/>
        <rFont val="Calibri"/>
        <family val="2"/>
        <scheme val="minor"/>
      </rPr>
      <t>T</t>
    </r>
  </si>
  <si>
    <t>R%</t>
  </si>
  <si>
    <t>kV</t>
  </si>
  <si>
    <t>X%</t>
  </si>
  <si>
    <t>Z%</t>
  </si>
  <si>
    <t>USER INPUT</t>
  </si>
  <si>
    <t>Pulled from "Voltage Drop Table" Equations</t>
  </si>
  <si>
    <t>Calculator Results</t>
  </si>
  <si>
    <t>Service Conductor</t>
  </si>
  <si>
    <t>Secondary Conductor</t>
  </si>
  <si>
    <t>Summer VD</t>
  </si>
  <si>
    <t>Winter VD</t>
  </si>
  <si>
    <t>Flicker</t>
  </si>
  <si>
    <t>Contributor</t>
  </si>
  <si>
    <t>Summer Voltage Drop (%)</t>
  </si>
  <si>
    <t>Winter Voltage Drop (%)</t>
  </si>
  <si>
    <t>Voltage Flicker (%)</t>
  </si>
  <si>
    <r>
      <t>VD</t>
    </r>
    <r>
      <rPr>
        <b/>
        <vertAlign val="subscript"/>
        <sz val="10"/>
        <rFont val="Arial"/>
        <family val="2"/>
      </rPr>
      <t>TOT</t>
    </r>
    <r>
      <rPr>
        <b/>
        <sz val="10"/>
        <rFont val="Arial"/>
        <family val="2"/>
      </rPr>
      <t>(%) = VD</t>
    </r>
    <r>
      <rPr>
        <b/>
        <vertAlign val="subscript"/>
        <sz val="10"/>
        <rFont val="Arial"/>
        <family val="2"/>
      </rPr>
      <t>XFMR</t>
    </r>
    <r>
      <rPr>
        <b/>
        <sz val="10"/>
        <rFont val="Arial"/>
        <family val="2"/>
      </rPr>
      <t>(%) + VD</t>
    </r>
    <r>
      <rPr>
        <b/>
        <vertAlign val="subscript"/>
        <sz val="10"/>
        <rFont val="Arial"/>
        <family val="2"/>
      </rPr>
      <t>SEC</t>
    </r>
    <r>
      <rPr>
        <b/>
        <sz val="10"/>
        <rFont val="Arial"/>
        <family val="2"/>
      </rPr>
      <t>(%) + VD</t>
    </r>
    <r>
      <rPr>
        <b/>
        <vertAlign val="subscript"/>
        <sz val="10"/>
        <rFont val="Arial"/>
        <family val="2"/>
      </rPr>
      <t>SERV</t>
    </r>
    <r>
      <rPr>
        <b/>
        <sz val="10"/>
        <rFont val="Arial"/>
        <family val="2"/>
      </rPr>
      <t>(%)
GOAL TO BE LESS THAN 3.33%
VF</t>
    </r>
    <r>
      <rPr>
        <b/>
        <vertAlign val="subscript"/>
        <sz val="10"/>
        <rFont val="Arial"/>
        <family val="2"/>
      </rPr>
      <t>TOT</t>
    </r>
    <r>
      <rPr>
        <b/>
        <sz val="10"/>
        <rFont val="Arial"/>
        <family val="2"/>
      </rPr>
      <t>(%) = VF</t>
    </r>
    <r>
      <rPr>
        <b/>
        <vertAlign val="subscript"/>
        <sz val="10"/>
        <rFont val="Arial"/>
        <family val="2"/>
      </rPr>
      <t>XFMR</t>
    </r>
    <r>
      <rPr>
        <b/>
        <sz val="10"/>
        <rFont val="Arial"/>
        <family val="2"/>
      </rPr>
      <t>(%) + VF</t>
    </r>
    <r>
      <rPr>
        <b/>
        <vertAlign val="subscript"/>
        <sz val="10"/>
        <rFont val="Arial"/>
        <family val="2"/>
      </rPr>
      <t>SEC</t>
    </r>
    <r>
      <rPr>
        <b/>
        <sz val="10"/>
        <rFont val="Arial"/>
        <family val="2"/>
      </rPr>
      <t>(%) +VF</t>
    </r>
    <r>
      <rPr>
        <b/>
        <vertAlign val="subscript"/>
        <sz val="10"/>
        <rFont val="Arial"/>
        <family val="2"/>
      </rPr>
      <t>SERV</t>
    </r>
    <r>
      <rPr>
        <b/>
        <sz val="10"/>
        <rFont val="Arial"/>
        <family val="2"/>
      </rPr>
      <t>(%)
GOAL TO BE LESS THAN 4.00%</t>
    </r>
  </si>
  <si>
    <t>% Voltage Flicker through Distribution Transformer (kVA) (OLD)</t>
  </si>
  <si>
    <t>% Voltage Flicker through Distribution Transformer (kVA) (RECALCULATED)</t>
  </si>
  <si>
    <t>Instructions:</t>
  </si>
  <si>
    <t>1. Add individual homes by using the arrows to the left to adjust square footage of each home.</t>
  </si>
  <si>
    <t>2. Appropriate AC size and summer and winter loading will be automatically calculated</t>
  </si>
  <si>
    <t>4. (Optional) If any home has a loading different from the calculated value, use the box to the right to manually enter a load.</t>
  </si>
  <si>
    <t>3. (Optional) If a home uses electric heat in the winter, check the "Electric Heat" box. Loads will be updated to reflect the change.</t>
  </si>
  <si>
    <t>User Defined Impedance</t>
  </si>
  <si>
    <t>X/R Ratio</t>
  </si>
  <si>
    <t>Transformer Size:</t>
  </si>
  <si>
    <t>Impedance Values</t>
  </si>
  <si>
    <t>Calculation of X, R using Z% and Losses</t>
  </si>
  <si>
    <t>User Input</t>
  </si>
  <si>
    <t>Rated Load Loss (W)</t>
  </si>
  <si>
    <t>Transformer Size</t>
  </si>
  <si>
    <t>User Def</t>
  </si>
  <si>
    <t>5. Once you are satisfied with your inputs, please continue to Step 2 - Transformer Sizing</t>
  </si>
  <si>
    <t>Resulting Impedance Values</t>
  </si>
  <si>
    <t>Rated Losses</t>
  </si>
  <si>
    <t>Be sure to complete Step 1 and Step 2 before calculating Voltage Drop and Voltage Flicker</t>
  </si>
  <si>
    <t>^^^These values are hard-coded into the calculations on that page.</t>
  </si>
  <si>
    <t>Full-Load Losses (W)</t>
  </si>
  <si>
    <t>Full-Load Loss (W)</t>
  </si>
  <si>
    <t>Manually-Entered Load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</si>
</sst>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i/>
      <sz val="11"/>
      <name val="Arial"/>
      <family val="2"/>
    </font>
    <font>
      <vertAlign val="subscript"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vertAlign val="subscript"/>
      <sz val="16"/>
      <name val="Arial"/>
      <family val="2"/>
    </font>
    <font>
      <b/>
      <i/>
      <sz val="16"/>
      <name val="Arial"/>
      <family val="2"/>
    </font>
    <font>
      <b/>
      <vertAlign val="subscript"/>
      <sz val="10"/>
      <name val="Arial"/>
      <family val="2"/>
    </font>
    <font>
      <sz val="8"/>
      <color rgb="FF000000"/>
      <name val="Segoe UI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Tahoma"/>
      <family val="2"/>
    </font>
    <font>
      <b/>
      <sz val="9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53"/>
      <name val="Arial"/>
      <family val="2"/>
    </font>
    <font>
      <i/>
      <sz val="12"/>
      <name val="Arial"/>
      <family val="2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399975585192419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562">
    <xf numFmtId="0" fontId="0" fillId="0" borderId="0" xfId="0"/>
    <xf numFmtId="0" fontId="4" fillId="0" borderId="0" xfId="2" applyFont="1" applyProtection="1">
      <protection locked="0" hidden="1"/>
    </xf>
    <xf numFmtId="0" fontId="4" fillId="0" borderId="0" xfId="2" applyFont="1" applyProtection="1"/>
    <xf numFmtId="0" fontId="3" fillId="0" borderId="0" xfId="2" applyFont="1" applyProtection="1">
      <protection locked="0" hidden="1"/>
    </xf>
    <xf numFmtId="0" fontId="4" fillId="0" borderId="0" xfId="2" applyFont="1" applyAlignment="1" applyProtection="1">
      <alignment horizontal="left"/>
    </xf>
    <xf numFmtId="0" fontId="2" fillId="0" borderId="0" xfId="2" applyProtection="1"/>
    <xf numFmtId="0" fontId="5" fillId="0" borderId="19" xfId="2" applyFont="1" applyBorder="1" applyAlignment="1" applyProtection="1">
      <alignment horizontal="center" wrapText="1"/>
    </xf>
    <xf numFmtId="0" fontId="5" fillId="0" borderId="20" xfId="2" applyFont="1" applyBorder="1" applyAlignment="1" applyProtection="1">
      <alignment horizontal="center" wrapText="1"/>
    </xf>
    <xf numFmtId="164" fontId="4" fillId="0" borderId="19" xfId="2" applyNumberFormat="1" applyFont="1" applyBorder="1" applyAlignment="1" applyProtection="1">
      <alignment horizontal="center" wrapText="1"/>
    </xf>
    <xf numFmtId="164" fontId="4" fillId="0" borderId="20" xfId="2" applyNumberFormat="1" applyFont="1" applyBorder="1" applyAlignment="1" applyProtection="1">
      <alignment horizontal="center" wrapText="1"/>
    </xf>
    <xf numFmtId="164" fontId="4" fillId="0" borderId="20" xfId="2" applyNumberFormat="1" applyFont="1" applyBorder="1" applyAlignment="1" applyProtection="1">
      <alignment horizontal="center"/>
    </xf>
    <xf numFmtId="0" fontId="4" fillId="0" borderId="0" xfId="2" applyFont="1" applyAlignment="1" applyProtection="1">
      <alignment horizontal="left" vertical="center"/>
      <protection locked="0" hidden="1"/>
    </xf>
    <xf numFmtId="164" fontId="4" fillId="0" borderId="29" xfId="2" applyNumberFormat="1" applyFont="1" applyBorder="1" applyAlignment="1" applyProtection="1">
      <alignment horizontal="center" wrapText="1"/>
    </xf>
    <xf numFmtId="164" fontId="4" fillId="0" borderId="31" xfId="2" applyNumberFormat="1" applyFont="1" applyBorder="1" applyAlignment="1" applyProtection="1">
      <alignment horizontal="center" wrapText="1"/>
    </xf>
    <xf numFmtId="0" fontId="5" fillId="0" borderId="40" xfId="2" applyFont="1" applyBorder="1" applyAlignment="1" applyProtection="1">
      <alignment horizontal="center" wrapText="1"/>
    </xf>
    <xf numFmtId="0" fontId="5" fillId="0" borderId="22" xfId="2" applyFont="1" applyBorder="1" applyAlignment="1" applyProtection="1">
      <alignment horizontal="center" wrapText="1"/>
    </xf>
    <xf numFmtId="0" fontId="5" fillId="0" borderId="23" xfId="2" applyFont="1" applyBorder="1" applyAlignment="1" applyProtection="1">
      <alignment horizontal="center" wrapText="1"/>
    </xf>
    <xf numFmtId="164" fontId="4" fillId="0" borderId="41" xfId="2" applyNumberFormat="1" applyFont="1" applyBorder="1" applyAlignment="1" applyProtection="1">
      <alignment horizontal="center" wrapText="1"/>
    </xf>
    <xf numFmtId="164" fontId="4" fillId="0" borderId="42" xfId="2" applyNumberFormat="1" applyFont="1" applyBorder="1" applyAlignment="1" applyProtection="1">
      <alignment horizontal="center" wrapText="1"/>
    </xf>
    <xf numFmtId="164" fontId="4" fillId="0" borderId="29" xfId="2" applyNumberFormat="1" applyFont="1" applyFill="1" applyBorder="1" applyAlignment="1" applyProtection="1">
      <alignment horizontal="center" wrapText="1"/>
    </xf>
    <xf numFmtId="0" fontId="4" fillId="0" borderId="13" xfId="2" applyFont="1" applyBorder="1" applyProtection="1"/>
    <xf numFmtId="0" fontId="5" fillId="0" borderId="45" xfId="2" applyFont="1" applyBorder="1" applyAlignment="1" applyProtection="1">
      <alignment wrapText="1"/>
    </xf>
    <xf numFmtId="0" fontId="4" fillId="0" borderId="26" xfId="2" applyFont="1" applyBorder="1" applyAlignment="1" applyProtection="1">
      <alignment horizontal="center" wrapText="1"/>
    </xf>
    <xf numFmtId="0" fontId="4" fillId="0" borderId="49" xfId="2" applyFont="1" applyBorder="1" applyAlignment="1" applyProtection="1">
      <alignment horizontal="center" wrapText="1"/>
    </xf>
    <xf numFmtId="0" fontId="5" fillId="0" borderId="24" xfId="2" applyFont="1" applyBorder="1" applyAlignment="1" applyProtection="1">
      <alignment horizontal="center" wrapText="1"/>
    </xf>
    <xf numFmtId="164" fontId="4" fillId="0" borderId="24" xfId="2" applyNumberFormat="1" applyFont="1" applyBorder="1" applyAlignment="1" applyProtection="1">
      <alignment horizontal="center" wrapText="1"/>
    </xf>
    <xf numFmtId="164" fontId="4" fillId="0" borderId="30" xfId="2" applyNumberFormat="1" applyFont="1" applyBorder="1" applyAlignment="1" applyProtection="1">
      <alignment horizontal="center" wrapText="1"/>
    </xf>
    <xf numFmtId="0" fontId="4" fillId="0" borderId="0" xfId="2" applyFont="1" applyAlignment="1" applyProtection="1">
      <alignment horizontal="left" vertical="center"/>
    </xf>
    <xf numFmtId="0" fontId="4" fillId="0" borderId="0" xfId="2" applyFont="1" applyProtection="1">
      <protection locked="0"/>
    </xf>
    <xf numFmtId="0" fontId="4" fillId="0" borderId="0" xfId="2" applyFont="1" applyBorder="1" applyAlignment="1" applyProtection="1">
      <alignment horizontal="left"/>
    </xf>
    <xf numFmtId="0" fontId="4" fillId="0" borderId="0" xfId="2" applyFont="1" applyBorder="1" applyProtection="1"/>
    <xf numFmtId="0" fontId="4" fillId="0" borderId="0" xfId="2" applyFont="1" applyAlignment="1" applyProtection="1"/>
    <xf numFmtId="0" fontId="4" fillId="0" borderId="0" xfId="2" applyFont="1" applyBorder="1" applyAlignment="1" applyProtection="1">
      <alignment horizontal="left" vertical="center"/>
    </xf>
    <xf numFmtId="0" fontId="4" fillId="0" borderId="7" xfId="2" applyFont="1" applyBorder="1" applyAlignment="1" applyProtection="1">
      <alignment horizontal="left" vertical="center"/>
    </xf>
    <xf numFmtId="0" fontId="4" fillId="0" borderId="20" xfId="2" applyFont="1" applyBorder="1" applyAlignment="1" applyProtection="1">
      <alignment horizontal="center" vertical="center"/>
    </xf>
    <xf numFmtId="0" fontId="4" fillId="0" borderId="0" xfId="2" applyFont="1" applyAlignment="1" applyProtection="1">
      <alignment vertical="center"/>
    </xf>
    <xf numFmtId="0" fontId="4" fillId="0" borderId="2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left" vertical="center"/>
    </xf>
    <xf numFmtId="0" fontId="4" fillId="0" borderId="5" xfId="2" applyFont="1" applyBorder="1" applyAlignment="1" applyProtection="1">
      <alignment horizontal="left" vertical="center"/>
    </xf>
    <xf numFmtId="2" fontId="4" fillId="0" borderId="0" xfId="2" applyNumberFormat="1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vertical="center" wrapText="1"/>
    </xf>
    <xf numFmtId="164" fontId="4" fillId="0" borderId="0" xfId="2" applyNumberFormat="1" applyFont="1" applyProtection="1">
      <protection locked="0"/>
    </xf>
    <xf numFmtId="0" fontId="5" fillId="0" borderId="0" xfId="2" applyFont="1" applyBorder="1" applyAlignment="1" applyProtection="1">
      <alignment horizontal="left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2" xfId="2" applyFont="1" applyBorder="1" applyAlignment="1" applyProtection="1">
      <alignment horizontal="left" vertical="center"/>
    </xf>
    <xf numFmtId="2" fontId="4" fillId="0" borderId="3" xfId="2" applyNumberFormat="1" applyFont="1" applyFill="1" applyBorder="1" applyAlignment="1" applyProtection="1">
      <alignment horizontal="center" vertical="center"/>
    </xf>
    <xf numFmtId="0" fontId="4" fillId="0" borderId="4" xfId="2" applyFont="1" applyBorder="1" applyProtection="1"/>
    <xf numFmtId="0" fontId="4" fillId="0" borderId="5" xfId="2" applyFont="1" applyBorder="1" applyProtection="1"/>
    <xf numFmtId="0" fontId="4" fillId="0" borderId="6" xfId="2" applyFont="1" applyBorder="1" applyProtection="1"/>
    <xf numFmtId="2" fontId="4" fillId="4" borderId="51" xfId="2" applyNumberFormat="1" applyFont="1" applyFill="1" applyBorder="1" applyAlignment="1" applyProtection="1">
      <alignment horizontal="center"/>
    </xf>
    <xf numFmtId="0" fontId="4" fillId="0" borderId="5" xfId="2" applyFont="1" applyBorder="1" applyProtection="1">
      <protection locked="0"/>
    </xf>
    <xf numFmtId="164" fontId="4" fillId="0" borderId="20" xfId="2" applyNumberFormat="1" applyFont="1" applyBorder="1" applyAlignment="1" applyProtection="1">
      <alignment horizontal="center" vertical="center"/>
    </xf>
    <xf numFmtId="2" fontId="4" fillId="2" borderId="31" xfId="2" applyNumberFormat="1" applyFont="1" applyFill="1" applyBorder="1" applyAlignment="1" applyProtection="1">
      <alignment horizontal="center" vertical="center"/>
    </xf>
    <xf numFmtId="1" fontId="4" fillId="0" borderId="20" xfId="2" applyNumberFormat="1" applyFont="1" applyBorder="1" applyAlignment="1" applyProtection="1">
      <alignment horizontal="center" vertical="center"/>
    </xf>
    <xf numFmtId="2" fontId="4" fillId="0" borderId="20" xfId="2" applyNumberFormat="1" applyFont="1" applyBorder="1" applyAlignment="1" applyProtection="1">
      <alignment horizontal="center" vertical="center"/>
    </xf>
    <xf numFmtId="0" fontId="4" fillId="0" borderId="1" xfId="2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0" fontId="4" fillId="0" borderId="3" xfId="2" applyFont="1" applyBorder="1" applyAlignment="1" applyProtection="1">
      <alignment horizontal="left"/>
    </xf>
    <xf numFmtId="0" fontId="4" fillId="0" borderId="7" xfId="2" applyFont="1" applyBorder="1" applyAlignment="1" applyProtection="1">
      <alignment vertical="center"/>
    </xf>
    <xf numFmtId="0" fontId="4" fillId="0" borderId="23" xfId="2" applyFont="1" applyBorder="1" applyAlignment="1" applyProtection="1">
      <alignment horizontal="center"/>
    </xf>
    <xf numFmtId="0" fontId="4" fillId="0" borderId="12" xfId="2" applyFont="1" applyBorder="1" applyProtection="1"/>
    <xf numFmtId="2" fontId="4" fillId="4" borderId="20" xfId="2" applyNumberFormat="1" applyFont="1" applyFill="1" applyBorder="1" applyAlignment="1" applyProtection="1">
      <alignment horizontal="center"/>
    </xf>
    <xf numFmtId="0" fontId="4" fillId="0" borderId="7" xfId="2" applyFont="1" applyBorder="1" applyAlignment="1" applyProtection="1">
      <alignment horizontal="left"/>
    </xf>
    <xf numFmtId="2" fontId="4" fillId="2" borderId="20" xfId="2" applyNumberFormat="1" applyFont="1" applyFill="1" applyBorder="1" applyAlignment="1" applyProtection="1">
      <alignment horizontal="center"/>
    </xf>
    <xf numFmtId="0" fontId="4" fillId="0" borderId="0" xfId="2" applyFont="1" applyAlignment="1" applyProtection="1">
      <alignment wrapText="1"/>
    </xf>
    <xf numFmtId="0" fontId="4" fillId="0" borderId="4" xfId="2" applyFont="1" applyBorder="1" applyAlignment="1" applyProtection="1">
      <alignment vertical="center"/>
    </xf>
    <xf numFmtId="2" fontId="4" fillId="3" borderId="31" xfId="2" applyNumberFormat="1" applyFont="1" applyFill="1" applyBorder="1" applyAlignment="1" applyProtection="1">
      <alignment horizontal="center" vertical="center" wrapText="1"/>
    </xf>
    <xf numFmtId="0" fontId="4" fillId="0" borderId="0" xfId="2" applyFont="1" applyAlignment="1" applyProtection="1">
      <alignment wrapText="1"/>
      <protection locked="0"/>
    </xf>
    <xf numFmtId="0" fontId="10" fillId="0" borderId="0" xfId="2" applyFont="1" applyBorder="1" applyAlignment="1" applyProtection="1">
      <alignment vertical="center"/>
    </xf>
    <xf numFmtId="2" fontId="4" fillId="4" borderId="0" xfId="2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0" fontId="4" fillId="0" borderId="0" xfId="2" applyFont="1" applyAlignment="1" applyProtection="1">
      <alignment horizontal="center"/>
    </xf>
    <xf numFmtId="0" fontId="4" fillId="0" borderId="0" xfId="2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5" fillId="0" borderId="24" xfId="2" applyFont="1" applyBorder="1" applyAlignment="1" applyProtection="1">
      <alignment horizontal="center" wrapText="1"/>
    </xf>
    <xf numFmtId="0" fontId="5" fillId="0" borderId="2" xfId="2" applyFont="1" applyBorder="1" applyAlignment="1" applyProtection="1">
      <alignment vertical="center"/>
    </xf>
    <xf numFmtId="0" fontId="2" fillId="0" borderId="0" xfId="2"/>
    <xf numFmtId="2" fontId="15" fillId="0" borderId="19" xfId="2" applyNumberFormat="1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2" fillId="0" borderId="19" xfId="2" applyBorder="1" applyAlignment="1">
      <alignment horizontal="center"/>
    </xf>
    <xf numFmtId="0" fontId="2" fillId="0" borderId="22" xfId="2" applyBorder="1" applyAlignment="1">
      <alignment horizontal="center"/>
    </xf>
    <xf numFmtId="0" fontId="5" fillId="0" borderId="19" xfId="2" applyFont="1" applyBorder="1" applyAlignment="1">
      <alignment horizontal="center"/>
    </xf>
    <xf numFmtId="17" fontId="5" fillId="0" borderId="19" xfId="2" applyNumberFormat="1" applyFont="1" applyBorder="1" applyAlignment="1">
      <alignment horizontal="center"/>
    </xf>
    <xf numFmtId="0" fontId="16" fillId="0" borderId="19" xfId="2" applyFont="1" applyBorder="1" applyAlignment="1">
      <alignment horizontal="center"/>
    </xf>
    <xf numFmtId="0" fontId="16" fillId="0" borderId="41" xfId="2" applyFont="1" applyBorder="1" applyAlignment="1">
      <alignment horizontal="center"/>
    </xf>
    <xf numFmtId="0" fontId="16" fillId="0" borderId="22" xfId="2" applyFont="1" applyBorder="1" applyAlignment="1">
      <alignment horizontal="center"/>
    </xf>
    <xf numFmtId="0" fontId="17" fillId="0" borderId="40" xfId="2" applyFont="1" applyBorder="1" applyAlignment="1">
      <alignment horizontal="center"/>
    </xf>
    <xf numFmtId="0" fontId="17" fillId="0" borderId="10" xfId="2" applyFont="1" applyBorder="1" applyAlignment="1">
      <alignment horizontal="center"/>
    </xf>
    <xf numFmtId="0" fontId="15" fillId="0" borderId="0" xfId="2" applyFont="1"/>
    <xf numFmtId="0" fontId="16" fillId="0" borderId="25" xfId="2" applyFont="1" applyBorder="1" applyAlignment="1">
      <alignment horizontal="center"/>
    </xf>
    <xf numFmtId="0" fontId="2" fillId="0" borderId="45" xfId="2" applyBorder="1" applyAlignment="1"/>
    <xf numFmtId="0" fontId="2" fillId="0" borderId="14" xfId="2" applyBorder="1" applyAlignment="1"/>
    <xf numFmtId="0" fontId="18" fillId="0" borderId="45" xfId="2" applyFont="1" applyBorder="1" applyAlignment="1"/>
    <xf numFmtId="0" fontId="18" fillId="0" borderId="14" xfId="2" applyFont="1" applyBorder="1" applyAlignment="1"/>
    <xf numFmtId="0" fontId="18" fillId="0" borderId="13" xfId="2" applyFont="1" applyBorder="1" applyAlignment="1"/>
    <xf numFmtId="0" fontId="18" fillId="0" borderId="0" xfId="3" applyFont="1" applyBorder="1" applyAlignment="1">
      <alignment wrapText="1"/>
    </xf>
    <xf numFmtId="0" fontId="17" fillId="0" borderId="0" xfId="3" applyFont="1" applyBorder="1" applyAlignment="1">
      <alignment wrapText="1"/>
    </xf>
    <xf numFmtId="0" fontId="4" fillId="0" borderId="0" xfId="3" applyBorder="1"/>
    <xf numFmtId="0" fontId="4" fillId="0" borderId="0" xfId="3"/>
    <xf numFmtId="0" fontId="19" fillId="0" borderId="0" xfId="3" applyFont="1"/>
    <xf numFmtId="0" fontId="20" fillId="0" borderId="0" xfId="3" applyFont="1"/>
    <xf numFmtId="0" fontId="4" fillId="0" borderId="0" xfId="2" applyFont="1" applyAlignment="1" applyProtection="1">
      <alignment horizontal="right"/>
      <protection locked="0"/>
    </xf>
    <xf numFmtId="0" fontId="4" fillId="0" borderId="19" xfId="2" applyFont="1" applyBorder="1" applyAlignment="1" applyProtection="1">
      <alignment horizontal="center" vertical="center"/>
    </xf>
    <xf numFmtId="1" fontId="4" fillId="0" borderId="19" xfId="2" applyNumberFormat="1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vertical="center" wrapText="1"/>
    </xf>
    <xf numFmtId="0" fontId="5" fillId="0" borderId="12" xfId="2" applyFont="1" applyBorder="1" applyAlignment="1" applyProtection="1">
      <alignment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57" xfId="0" applyFont="1" applyBorder="1" applyAlignment="1">
      <alignment horizontal="center"/>
    </xf>
    <xf numFmtId="0" fontId="22" fillId="0" borderId="59" xfId="0" applyFont="1" applyBorder="1" applyAlignment="1">
      <alignment horizontal="center"/>
    </xf>
    <xf numFmtId="0" fontId="22" fillId="0" borderId="58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165" fontId="22" fillId="0" borderId="22" xfId="1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0" borderId="19" xfId="1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4" fillId="0" borderId="0" xfId="4"/>
    <xf numFmtId="0" fontId="4" fillId="0" borderId="0" xfId="4" applyAlignment="1">
      <alignment horizontal="left" vertical="center"/>
    </xf>
    <xf numFmtId="0" fontId="5" fillId="0" borderId="53" xfId="4" applyFont="1" applyBorder="1" applyAlignment="1">
      <alignment horizontal="center" vertical="center"/>
    </xf>
    <xf numFmtId="0" fontId="4" fillId="0" borderId="21" xfId="4" applyBorder="1" applyAlignment="1">
      <alignment horizontal="center" vertical="center"/>
    </xf>
    <xf numFmtId="0" fontId="4" fillId="0" borderId="22" xfId="4" applyBorder="1" applyAlignment="1">
      <alignment horizontal="center" vertical="center"/>
    </xf>
    <xf numFmtId="2" fontId="4" fillId="0" borderId="22" xfId="4" applyNumberFormat="1" applyBorder="1" applyAlignment="1">
      <alignment horizontal="center" vertical="center"/>
    </xf>
    <xf numFmtId="2" fontId="4" fillId="0" borderId="23" xfId="4" applyNumberFormat="1" applyBorder="1" applyAlignment="1">
      <alignment horizontal="center" vertical="center"/>
    </xf>
    <xf numFmtId="0" fontId="4" fillId="0" borderId="18" xfId="4" applyBorder="1" applyAlignment="1">
      <alignment horizontal="center" vertical="center"/>
    </xf>
    <xf numFmtId="0" fontId="4" fillId="0" borderId="19" xfId="4" applyBorder="1" applyAlignment="1">
      <alignment horizontal="center" vertical="center"/>
    </xf>
    <xf numFmtId="2" fontId="4" fillId="0" borderId="19" xfId="4" applyNumberFormat="1" applyBorder="1" applyAlignment="1">
      <alignment horizontal="center" vertical="center"/>
    </xf>
    <xf numFmtId="2" fontId="4" fillId="0" borderId="20" xfId="4" applyNumberFormat="1" applyBorder="1" applyAlignment="1">
      <alignment horizontal="center" vertical="center"/>
    </xf>
    <xf numFmtId="0" fontId="4" fillId="0" borderId="28" xfId="4" applyBorder="1" applyAlignment="1">
      <alignment horizontal="center" vertical="center"/>
    </xf>
    <xf numFmtId="0" fontId="4" fillId="0" borderId="29" xfId="4" applyBorder="1" applyAlignment="1">
      <alignment horizontal="center" vertical="center"/>
    </xf>
    <xf numFmtId="2" fontId="4" fillId="0" borderId="29" xfId="4" applyNumberFormat="1" applyBorder="1" applyAlignment="1">
      <alignment horizontal="center" vertical="center"/>
    </xf>
    <xf numFmtId="2" fontId="4" fillId="0" borderId="31" xfId="4" applyNumberFormat="1" applyBorder="1" applyAlignment="1">
      <alignment horizontal="center" vertical="center"/>
    </xf>
    <xf numFmtId="0" fontId="4" fillId="0" borderId="0" xfId="4" applyAlignment="1">
      <alignment horizontal="left"/>
    </xf>
    <xf numFmtId="0" fontId="7" fillId="0" borderId="0" xfId="2" applyFont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2" fontId="10" fillId="0" borderId="0" xfId="2" applyNumberFormat="1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/>
    <xf numFmtId="0" fontId="4" fillId="0" borderId="0" xfId="2" applyFont="1" applyAlignment="1" applyProtection="1">
      <protection locked="0"/>
    </xf>
    <xf numFmtId="0" fontId="9" fillId="0" borderId="0" xfId="0" applyFont="1" applyBorder="1" applyAlignment="1">
      <alignment vertical="center" wrapText="1"/>
    </xf>
    <xf numFmtId="1" fontId="4" fillId="0" borderId="20" xfId="0" applyNumberFormat="1" applyFont="1" applyBorder="1" applyAlignment="1">
      <alignment horizontal="center" vertical="center"/>
    </xf>
    <xf numFmtId="0" fontId="4" fillId="0" borderId="9" xfId="2" applyFont="1" applyBorder="1" applyAlignment="1" applyProtection="1">
      <alignment horizontal="center" vertical="center"/>
    </xf>
    <xf numFmtId="0" fontId="4" fillId="0" borderId="24" xfId="2" applyFont="1" applyBorder="1" applyAlignment="1" applyProtection="1">
      <alignment horizontal="center" vertical="center"/>
    </xf>
    <xf numFmtId="1" fontId="4" fillId="0" borderId="24" xfId="2" applyNumberFormat="1" applyFont="1" applyBorder="1" applyAlignment="1" applyProtection="1">
      <alignment horizontal="center" vertical="center"/>
    </xf>
    <xf numFmtId="2" fontId="0" fillId="0" borderId="0" xfId="0" applyNumberFormat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2" fontId="22" fillId="0" borderId="0" xfId="0" applyNumberFormat="1" applyFont="1" applyAlignment="1">
      <alignment horizontal="center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horizontal="center" vertical="center" wrapText="1"/>
    </xf>
    <xf numFmtId="0" fontId="10" fillId="0" borderId="0" xfId="2" applyFont="1" applyBorder="1" applyAlignment="1" applyProtection="1">
      <alignment horizontal="left" vertical="center"/>
    </xf>
    <xf numFmtId="0" fontId="5" fillId="0" borderId="0" xfId="2" applyFont="1" applyBorder="1" applyAlignment="1" applyProtection="1">
      <alignment horizontal="center" vertical="center" wrapText="1"/>
    </xf>
    <xf numFmtId="0" fontId="4" fillId="0" borderId="0" xfId="2" applyFont="1" applyBorder="1" applyAlignment="1" applyProtection="1">
      <alignment horizontal="center" wrapText="1"/>
    </xf>
    <xf numFmtId="0" fontId="22" fillId="10" borderId="22" xfId="0" applyFont="1" applyFill="1" applyBorder="1" applyAlignment="1">
      <alignment horizontal="center" vertical="center"/>
    </xf>
    <xf numFmtId="2" fontId="22" fillId="10" borderId="22" xfId="0" applyNumberFormat="1" applyFont="1" applyFill="1" applyBorder="1" applyAlignment="1">
      <alignment horizontal="center" vertical="center"/>
    </xf>
    <xf numFmtId="0" fontId="22" fillId="10" borderId="19" xfId="0" applyFont="1" applyFill="1" applyBorder="1" applyAlignment="1">
      <alignment horizontal="center" vertical="center"/>
    </xf>
    <xf numFmtId="2" fontId="22" fillId="10" borderId="19" xfId="0" applyNumberFormat="1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 wrapText="1"/>
    </xf>
    <xf numFmtId="0" fontId="0" fillId="0" borderId="0" xfId="0" applyFill="1" applyAlignment="1">
      <alignment horizontal="left"/>
    </xf>
    <xf numFmtId="164" fontId="22" fillId="10" borderId="22" xfId="0" applyNumberFormat="1" applyFont="1" applyFill="1" applyBorder="1" applyAlignment="1">
      <alignment horizontal="center" vertical="center"/>
    </xf>
    <xf numFmtId="164" fontId="22" fillId="10" borderId="19" xfId="0" applyNumberFormat="1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/>
    </xf>
    <xf numFmtId="0" fontId="3" fillId="0" borderId="0" xfId="2" applyFont="1" applyBorder="1" applyAlignment="1" applyProtection="1">
      <alignment vertical="center" wrapText="1"/>
    </xf>
    <xf numFmtId="0" fontId="4" fillId="0" borderId="19" xfId="2" applyFont="1" applyFill="1" applyBorder="1" applyAlignment="1" applyProtection="1">
      <alignment horizontal="center" vertical="center"/>
    </xf>
    <xf numFmtId="164" fontId="4" fillId="0" borderId="19" xfId="2" applyNumberFormat="1" applyFont="1" applyFill="1" applyBorder="1" applyAlignment="1" applyProtection="1">
      <alignment horizontal="center" vertical="center"/>
    </xf>
    <xf numFmtId="2" fontId="4" fillId="0" borderId="2" xfId="2" applyNumberFormat="1" applyFont="1" applyFill="1" applyBorder="1" applyAlignment="1" applyProtection="1">
      <alignment horizontal="center" vertical="center"/>
    </xf>
    <xf numFmtId="0" fontId="4" fillId="0" borderId="62" xfId="2" applyFont="1" applyBorder="1" applyAlignment="1" applyProtection="1">
      <alignment horizontal="center" vertical="center"/>
    </xf>
    <xf numFmtId="0" fontId="4" fillId="0" borderId="2" xfId="2" applyFont="1" applyBorder="1" applyProtection="1"/>
    <xf numFmtId="0" fontId="4" fillId="0" borderId="7" xfId="2" applyFont="1" applyBorder="1" applyProtection="1"/>
    <xf numFmtId="0" fontId="4" fillId="0" borderId="0" xfId="2" applyFont="1" applyFill="1" applyProtection="1"/>
    <xf numFmtId="0" fontId="7" fillId="0" borderId="7" xfId="2" applyFont="1" applyBorder="1" applyAlignment="1" applyProtection="1">
      <alignment vertical="center" wrapText="1"/>
    </xf>
    <xf numFmtId="0" fontId="5" fillId="0" borderId="0" xfId="2" applyFont="1" applyFill="1" applyProtection="1"/>
    <xf numFmtId="0" fontId="4" fillId="0" borderId="0" xfId="2" applyFont="1" applyBorder="1" applyAlignment="1" applyProtection="1">
      <alignment horizontal="center" vertical="center"/>
    </xf>
    <xf numFmtId="0" fontId="4" fillId="0" borderId="20" xfId="2" applyFont="1" applyFill="1" applyBorder="1" applyAlignment="1" applyProtection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1" fontId="28" fillId="0" borderId="0" xfId="0" applyNumberFormat="1" applyFont="1" applyAlignment="1" applyProtection="1">
      <alignment horizontal="left"/>
      <protection locked="0"/>
    </xf>
    <xf numFmtId="0" fontId="5" fillId="0" borderId="0" xfId="2" applyFont="1" applyAlignment="1" applyProtection="1">
      <alignment vertical="center"/>
    </xf>
    <xf numFmtId="0" fontId="30" fillId="0" borderId="0" xfId="2" applyFont="1" applyFill="1" applyBorder="1" applyAlignment="1" applyProtection="1">
      <alignment horizontal="center" vertical="center"/>
    </xf>
    <xf numFmtId="0" fontId="28" fillId="0" borderId="0" xfId="0" applyFont="1" applyBorder="1"/>
    <xf numFmtId="0" fontId="28" fillId="0" borderId="7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61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2" fontId="28" fillId="12" borderId="31" xfId="0" applyNumberFormat="1" applyFont="1" applyFill="1" applyBorder="1" applyAlignment="1">
      <alignment horizontal="center" vertical="center"/>
    </xf>
    <xf numFmtId="0" fontId="28" fillId="0" borderId="7" xfId="0" applyFont="1" applyBorder="1"/>
    <xf numFmtId="0" fontId="28" fillId="0" borderId="23" xfId="0" applyFont="1" applyBorder="1" applyAlignment="1">
      <alignment horizontal="center" vertical="center"/>
    </xf>
    <xf numFmtId="2" fontId="28" fillId="0" borderId="20" xfId="0" applyNumberFormat="1" applyFont="1" applyBorder="1" applyAlignment="1">
      <alignment horizontal="center" vertical="center"/>
    </xf>
    <xf numFmtId="2" fontId="28" fillId="9" borderId="5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2" fontId="28" fillId="0" borderId="3" xfId="0" applyNumberFormat="1" applyFont="1" applyFill="1" applyBorder="1" applyAlignment="1">
      <alignment horizontal="center" vertical="center"/>
    </xf>
    <xf numFmtId="2" fontId="28" fillId="0" borderId="12" xfId="0" applyNumberFormat="1" applyFont="1" applyFill="1" applyBorder="1" applyAlignment="1">
      <alignment horizontal="center" vertical="center"/>
    </xf>
    <xf numFmtId="0" fontId="28" fillId="0" borderId="4" xfId="0" applyFont="1" applyBorder="1"/>
    <xf numFmtId="0" fontId="28" fillId="0" borderId="5" xfId="0" applyFont="1" applyBorder="1"/>
    <xf numFmtId="0" fontId="28" fillId="0" borderId="6" xfId="0" applyFont="1" applyBorder="1"/>
    <xf numFmtId="1" fontId="28" fillId="0" borderId="20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4" fillId="0" borderId="5" xfId="2" applyFont="1" applyBorder="1" applyAlignment="1" applyProtection="1">
      <alignment wrapText="1"/>
    </xf>
    <xf numFmtId="164" fontId="4" fillId="0" borderId="20" xfId="2" applyNumberFormat="1" applyFont="1" applyFill="1" applyBorder="1" applyAlignment="1" applyProtection="1">
      <alignment horizontal="center" vertical="center"/>
    </xf>
    <xf numFmtId="2" fontId="4" fillId="8" borderId="31" xfId="2" applyNumberFormat="1" applyFont="1" applyFill="1" applyBorder="1" applyAlignment="1" applyProtection="1">
      <alignment horizontal="center" vertical="center"/>
    </xf>
    <xf numFmtId="164" fontId="4" fillId="0" borderId="19" xfId="2" applyNumberFormat="1" applyFont="1" applyBorder="1" applyAlignment="1" applyProtection="1">
      <alignment horizontal="center" vertical="center"/>
    </xf>
    <xf numFmtId="164" fontId="4" fillId="0" borderId="24" xfId="2" applyNumberFormat="1" applyFont="1" applyBorder="1" applyAlignment="1" applyProtection="1">
      <alignment horizontal="center" vertical="center"/>
    </xf>
    <xf numFmtId="2" fontId="4" fillId="0" borderId="19" xfId="2" applyNumberFormat="1" applyFont="1" applyBorder="1" applyAlignment="1" applyProtection="1">
      <alignment horizontal="center" vertical="center"/>
    </xf>
    <xf numFmtId="2" fontId="4" fillId="0" borderId="24" xfId="2" applyNumberFormat="1" applyFont="1" applyBorder="1" applyAlignment="1" applyProtection="1">
      <alignment horizontal="center" vertical="center"/>
    </xf>
    <xf numFmtId="2" fontId="4" fillId="6" borderId="51" xfId="2" applyNumberFormat="1" applyFont="1" applyFill="1" applyBorder="1" applyAlignment="1" applyProtection="1">
      <alignment horizontal="center" vertical="center"/>
    </xf>
    <xf numFmtId="2" fontId="4" fillId="6" borderId="13" xfId="2" applyNumberFormat="1" applyFont="1" applyFill="1" applyBorder="1" applyAlignment="1" applyProtection="1">
      <alignment horizontal="center" vertical="center"/>
    </xf>
    <xf numFmtId="2" fontId="4" fillId="7" borderId="51" xfId="2" applyNumberFormat="1" applyFont="1" applyFill="1" applyBorder="1" applyAlignment="1" applyProtection="1">
      <alignment horizontal="center" vertical="center"/>
    </xf>
    <xf numFmtId="2" fontId="4" fillId="7" borderId="13" xfId="2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0" fillId="0" borderId="17" xfId="0" applyFont="1" applyBorder="1"/>
    <xf numFmtId="0" fontId="27" fillId="0" borderId="14" xfId="0" applyFont="1" applyFill="1" applyBorder="1" applyAlignment="1">
      <alignment vertical="center"/>
    </xf>
    <xf numFmtId="2" fontId="4" fillId="0" borderId="78" xfId="4" applyNumberFormat="1" applyBorder="1" applyAlignment="1">
      <alignment horizontal="center" vertical="center"/>
    </xf>
    <xf numFmtId="2" fontId="4" fillId="0" borderId="18" xfId="4" applyNumberFormat="1" applyBorder="1" applyAlignment="1">
      <alignment horizontal="center" vertical="center"/>
    </xf>
    <xf numFmtId="2" fontId="4" fillId="0" borderId="28" xfId="4" applyNumberFormat="1" applyBorder="1" applyAlignment="1">
      <alignment horizontal="center" vertical="center"/>
    </xf>
    <xf numFmtId="0" fontId="0" fillId="0" borderId="0" xfId="0" applyFont="1" applyBorder="1"/>
    <xf numFmtId="0" fontId="35" fillId="0" borderId="0" xfId="2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2" applyFont="1" applyBorder="1" applyAlignment="1" applyProtection="1"/>
    <xf numFmtId="0" fontId="9" fillId="0" borderId="0" xfId="0" applyFont="1" applyFill="1" applyBorder="1" applyAlignment="1">
      <alignment vertical="center" wrapText="1"/>
    </xf>
    <xf numFmtId="0" fontId="28" fillId="0" borderId="0" xfId="0" applyFont="1" applyFill="1" applyBorder="1"/>
    <xf numFmtId="0" fontId="26" fillId="0" borderId="0" xfId="2" applyFont="1" applyFill="1" applyBorder="1" applyAlignment="1" applyProtection="1">
      <alignment vertical="center"/>
    </xf>
    <xf numFmtId="0" fontId="26" fillId="0" borderId="0" xfId="0" applyFont="1" applyFill="1" applyBorder="1" applyAlignment="1">
      <alignment vertical="center"/>
    </xf>
    <xf numFmtId="0" fontId="25" fillId="0" borderId="0" xfId="2" applyFont="1" applyFill="1" applyBorder="1" applyAlignment="1" applyProtection="1">
      <alignment vertical="center" wrapText="1"/>
    </xf>
    <xf numFmtId="0" fontId="25" fillId="0" borderId="0" xfId="0" applyFont="1" applyFill="1" applyBorder="1" applyAlignment="1">
      <alignment vertical="center" wrapText="1"/>
    </xf>
    <xf numFmtId="2" fontId="10" fillId="0" borderId="0" xfId="0" applyNumberFormat="1" applyFont="1" applyFill="1" applyBorder="1" applyAlignment="1">
      <alignment vertical="center"/>
    </xf>
    <xf numFmtId="2" fontId="24" fillId="0" borderId="0" xfId="0" applyNumberFormat="1" applyFont="1" applyFill="1" applyBorder="1" applyAlignment="1">
      <alignment vertical="center"/>
    </xf>
    <xf numFmtId="2" fontId="28" fillId="13" borderId="51" xfId="0" applyNumberFormat="1" applyFont="1" applyFill="1" applyBorder="1" applyAlignment="1">
      <alignment horizontal="center" vertical="center"/>
    </xf>
    <xf numFmtId="2" fontId="4" fillId="5" borderId="22" xfId="4" applyNumberFormat="1" applyFill="1" applyBorder="1" applyAlignment="1">
      <alignment horizontal="center" vertical="center"/>
    </xf>
    <xf numFmtId="2" fontId="4" fillId="5" borderId="9" xfId="4" applyNumberFormat="1" applyFill="1" applyBorder="1" applyAlignment="1">
      <alignment horizontal="center" vertical="center"/>
    </xf>
    <xf numFmtId="2" fontId="4" fillId="5" borderId="29" xfId="4" applyNumberFormat="1" applyFill="1" applyBorder="1" applyAlignment="1">
      <alignment horizontal="center" vertical="center"/>
    </xf>
    <xf numFmtId="2" fontId="4" fillId="5" borderId="30" xfId="4" applyNumberFormat="1" applyFill="1" applyBorder="1" applyAlignment="1">
      <alignment horizontal="center" vertical="center"/>
    </xf>
    <xf numFmtId="2" fontId="4" fillId="0" borderId="61" xfId="4" applyNumberFormat="1" applyBorder="1" applyAlignment="1">
      <alignment horizontal="center" vertical="center"/>
    </xf>
    <xf numFmtId="0" fontId="4" fillId="0" borderId="9" xfId="4" applyBorder="1" applyAlignment="1">
      <alignment horizontal="center" vertical="center"/>
    </xf>
    <xf numFmtId="0" fontId="4" fillId="0" borderId="24" xfId="4" applyBorder="1" applyAlignment="1">
      <alignment horizontal="center" vertical="center"/>
    </xf>
    <xf numFmtId="0" fontId="4" fillId="0" borderId="30" xfId="4" applyBorder="1" applyAlignment="1">
      <alignment horizontal="center" vertical="center"/>
    </xf>
    <xf numFmtId="2" fontId="4" fillId="5" borderId="78" xfId="4" applyNumberFormat="1" applyFill="1" applyBorder="1" applyAlignment="1">
      <alignment horizontal="center" vertical="center"/>
    </xf>
    <xf numFmtId="2" fontId="4" fillId="5" borderId="21" xfId="4" applyNumberFormat="1" applyFill="1" applyBorder="1" applyAlignment="1">
      <alignment horizontal="center" vertical="center"/>
    </xf>
    <xf numFmtId="2" fontId="4" fillId="5" borderId="28" xfId="4" applyNumberFormat="1" applyFill="1" applyBorder="1" applyAlignment="1">
      <alignment horizontal="center" vertical="center"/>
    </xf>
    <xf numFmtId="0" fontId="4" fillId="0" borderId="78" xfId="4" applyBorder="1" applyAlignment="1">
      <alignment horizontal="center" vertical="center"/>
    </xf>
    <xf numFmtId="0" fontId="22" fillId="8" borderId="68" xfId="0" applyFont="1" applyFill="1" applyBorder="1" applyAlignment="1">
      <alignment horizontal="center"/>
    </xf>
    <xf numFmtId="0" fontId="22" fillId="8" borderId="53" xfId="0" applyFont="1" applyFill="1" applyBorder="1" applyAlignment="1">
      <alignment horizontal="center"/>
    </xf>
    <xf numFmtId="0" fontId="22" fillId="8" borderId="69" xfId="0" applyFont="1" applyFill="1" applyBorder="1" applyAlignment="1">
      <alignment horizontal="center"/>
    </xf>
    <xf numFmtId="9" fontId="22" fillId="8" borderId="22" xfId="0" applyNumberFormat="1" applyFont="1" applyFill="1" applyBorder="1" applyAlignment="1">
      <alignment horizontal="center"/>
    </xf>
    <xf numFmtId="2" fontId="22" fillId="8" borderId="70" xfId="1" applyNumberFormat="1" applyFont="1" applyFill="1" applyBorder="1" applyAlignment="1">
      <alignment horizontal="center" vertical="center"/>
    </xf>
    <xf numFmtId="0" fontId="22" fillId="8" borderId="19" xfId="0" quotePrefix="1" applyFont="1" applyFill="1" applyBorder="1" applyAlignment="1">
      <alignment horizontal="center"/>
    </xf>
    <xf numFmtId="0" fontId="22" fillId="8" borderId="19" xfId="0" applyFont="1" applyFill="1" applyBorder="1" applyAlignment="1">
      <alignment horizontal="center"/>
    </xf>
    <xf numFmtId="0" fontId="22" fillId="8" borderId="71" xfId="0" applyFont="1" applyFill="1" applyBorder="1" applyAlignment="1">
      <alignment horizontal="center"/>
    </xf>
    <xf numFmtId="2" fontId="22" fillId="8" borderId="72" xfId="1" applyNumberFormat="1" applyFont="1" applyFill="1" applyBorder="1" applyAlignment="1">
      <alignment horizontal="center" vertical="center"/>
    </xf>
    <xf numFmtId="0" fontId="5" fillId="0" borderId="0" xfId="4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166" fontId="0" fillId="0" borderId="17" xfId="0" applyNumberFormat="1" applyFont="1" applyBorder="1"/>
    <xf numFmtId="0" fontId="5" fillId="0" borderId="0" xfId="4" applyFont="1" applyBorder="1" applyAlignment="1">
      <alignment horizontal="center" vertical="center"/>
    </xf>
    <xf numFmtId="2" fontId="4" fillId="0" borderId="0" xfId="4" applyNumberFormat="1" applyBorder="1" applyAlignment="1">
      <alignment horizontal="center" vertical="center"/>
    </xf>
    <xf numFmtId="0" fontId="5" fillId="0" borderId="54" xfId="4" applyFont="1" applyBorder="1" applyAlignment="1">
      <alignment horizontal="center" vertical="center"/>
    </xf>
    <xf numFmtId="2" fontId="4" fillId="13" borderId="9" xfId="4" applyNumberFormat="1" applyFill="1" applyBorder="1" applyAlignment="1">
      <alignment horizontal="center" vertical="center"/>
    </xf>
    <xf numFmtId="0" fontId="16" fillId="13" borderId="19" xfId="2" applyFont="1" applyFill="1" applyBorder="1" applyAlignment="1">
      <alignment horizontal="center" wrapText="1"/>
    </xf>
    <xf numFmtId="2" fontId="15" fillId="13" borderId="19" xfId="2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Alignment="1" applyProtection="1">
      <alignment horizontal="center"/>
      <protection locked="0"/>
    </xf>
    <xf numFmtId="0" fontId="22" fillId="8" borderId="40" xfId="0" applyFont="1" applyFill="1" applyBorder="1" applyAlignment="1">
      <alignment horizontal="center"/>
    </xf>
    <xf numFmtId="0" fontId="22" fillId="8" borderId="41" xfId="0" applyFont="1" applyFill="1" applyBorder="1" applyAlignment="1">
      <alignment horizontal="center"/>
    </xf>
    <xf numFmtId="0" fontId="22" fillId="8" borderId="82" xfId="0" applyFont="1" applyFill="1" applyBorder="1" applyAlignment="1">
      <alignment horizontal="center"/>
    </xf>
    <xf numFmtId="2" fontId="22" fillId="8" borderId="83" xfId="1" applyNumberFormat="1" applyFont="1" applyFill="1" applyBorder="1" applyAlignment="1">
      <alignment horizontal="center" vertical="center"/>
    </xf>
    <xf numFmtId="2" fontId="22" fillId="8" borderId="84" xfId="1" applyNumberFormat="1" applyFont="1" applyFill="1" applyBorder="1" applyAlignment="1">
      <alignment horizontal="center" vertical="center"/>
    </xf>
    <xf numFmtId="0" fontId="0" fillId="0" borderId="7" xfId="0" applyFont="1" applyBorder="1"/>
    <xf numFmtId="0" fontId="31" fillId="0" borderId="0" xfId="2" applyFont="1" applyBorder="1" applyAlignment="1" applyProtection="1">
      <alignment vertical="center" wrapText="1"/>
    </xf>
    <xf numFmtId="0" fontId="5" fillId="0" borderId="24" xfId="2" applyFont="1" applyBorder="1" applyAlignment="1" applyProtection="1">
      <alignment horizontal="center" wrapText="1"/>
    </xf>
    <xf numFmtId="0" fontId="0" fillId="0" borderId="12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15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35" fillId="0" borderId="45" xfId="2" applyFont="1" applyBorder="1" applyAlignment="1" applyProtection="1">
      <alignment horizontal="center"/>
      <protection locked="0"/>
    </xf>
    <xf numFmtId="0" fontId="35" fillId="0" borderId="25" xfId="2" applyFont="1" applyBorder="1" applyAlignment="1" applyProtection="1">
      <alignment horizontal="center"/>
      <protection locked="0"/>
    </xf>
    <xf numFmtId="0" fontId="35" fillId="0" borderId="51" xfId="2" applyFont="1" applyBorder="1" applyAlignment="1" applyProtection="1">
      <alignment horizontal="center"/>
      <protection locked="0"/>
    </xf>
    <xf numFmtId="0" fontId="0" fillId="0" borderId="47" xfId="0" applyFont="1" applyBorder="1" applyAlignment="1" applyProtection="1">
      <alignment horizontal="center"/>
      <protection locked="0"/>
    </xf>
    <xf numFmtId="166" fontId="0" fillId="5" borderId="78" xfId="0" applyNumberFormat="1" applyFont="1" applyFill="1" applyBorder="1" applyAlignment="1" applyProtection="1">
      <alignment horizontal="center"/>
      <protection locked="0"/>
    </xf>
    <xf numFmtId="166" fontId="0" fillId="5" borderId="77" xfId="0" applyNumberFormat="1" applyFont="1" applyFill="1" applyBorder="1" applyAlignment="1" applyProtection="1">
      <alignment horizontal="center"/>
      <protection locked="0"/>
    </xf>
    <xf numFmtId="166" fontId="0" fillId="5" borderId="61" xfId="0" applyNumberFormat="1" applyFont="1" applyFill="1" applyBorder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166" fontId="0" fillId="5" borderId="18" xfId="0" applyNumberFormat="1" applyFont="1" applyFill="1" applyBorder="1" applyAlignment="1" applyProtection="1">
      <alignment horizontal="center"/>
      <protection locked="0"/>
    </xf>
    <xf numFmtId="166" fontId="0" fillId="5" borderId="19" xfId="0" applyNumberFormat="1" applyFont="1" applyFill="1" applyBorder="1" applyAlignment="1" applyProtection="1">
      <alignment horizontal="center"/>
      <protection locked="0"/>
    </xf>
    <xf numFmtId="166" fontId="0" fillId="5" borderId="20" xfId="0" applyNumberFormat="1" applyFont="1" applyFill="1" applyBorder="1" applyAlignment="1" applyProtection="1">
      <alignment horizontal="center"/>
      <protection locked="0"/>
    </xf>
    <xf numFmtId="0" fontId="0" fillId="0" borderId="44" xfId="0" applyFont="1" applyBorder="1" applyAlignment="1" applyProtection="1">
      <alignment horizontal="center"/>
      <protection locked="0"/>
    </xf>
    <xf numFmtId="166" fontId="0" fillId="0" borderId="80" xfId="0" applyNumberFormat="1" applyFont="1" applyBorder="1" applyAlignment="1" applyProtection="1">
      <alignment horizontal="center"/>
      <protection locked="0"/>
    </xf>
    <xf numFmtId="166" fontId="0" fillId="0" borderId="25" xfId="0" applyNumberFormat="1" applyFont="1" applyBorder="1" applyAlignment="1" applyProtection="1">
      <alignment horizontal="center"/>
      <protection locked="0"/>
    </xf>
    <xf numFmtId="166" fontId="0" fillId="0" borderId="51" xfId="0" applyNumberFormat="1" applyFont="1" applyBorder="1" applyAlignment="1" applyProtection="1">
      <alignment horizontal="center"/>
      <protection locked="0"/>
    </xf>
    <xf numFmtId="0" fontId="0" fillId="0" borderId="81" xfId="0" applyFont="1" applyBorder="1" applyAlignment="1" applyProtection="1">
      <alignment horizontal="center"/>
      <protection locked="0"/>
    </xf>
    <xf numFmtId="166" fontId="0" fillId="0" borderId="41" xfId="0" applyNumberFormat="1" applyFont="1" applyBorder="1" applyAlignment="1" applyProtection="1">
      <alignment horizontal="center"/>
      <protection locked="0"/>
    </xf>
    <xf numFmtId="166" fontId="0" fillId="0" borderId="20" xfId="0" applyNumberFormat="1" applyFont="1" applyBorder="1" applyAlignment="1" applyProtection="1">
      <alignment horizontal="center"/>
      <protection locked="0"/>
    </xf>
    <xf numFmtId="166" fontId="0" fillId="0" borderId="19" xfId="0" applyNumberFormat="1" applyFont="1" applyBorder="1" applyAlignment="1" applyProtection="1">
      <alignment horizontal="center"/>
      <protection locked="0"/>
    </xf>
    <xf numFmtId="0" fontId="0" fillId="0" borderId="85" xfId="0" applyFont="1" applyBorder="1" applyAlignment="1" applyProtection="1">
      <alignment horizontal="center"/>
      <protection locked="0"/>
    </xf>
    <xf numFmtId="0" fontId="0" fillId="0" borderId="49" xfId="0" applyFont="1" applyFill="1" applyBorder="1" applyAlignment="1" applyProtection="1">
      <alignment horizontal="center"/>
      <protection locked="0"/>
    </xf>
    <xf numFmtId="1" fontId="0" fillId="0" borderId="28" xfId="0" applyNumberFormat="1" applyFont="1" applyBorder="1" applyAlignment="1" applyProtection="1">
      <alignment horizontal="center"/>
      <protection locked="0"/>
    </xf>
    <xf numFmtId="1" fontId="0" fillId="0" borderId="29" xfId="0" applyNumberFormat="1" applyFont="1" applyBorder="1" applyAlignment="1" applyProtection="1">
      <alignment horizontal="center"/>
      <protection locked="0"/>
    </xf>
    <xf numFmtId="1" fontId="0" fillId="0" borderId="31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5" borderId="0" xfId="0" applyFont="1" applyFill="1" applyBorder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right"/>
      <protection locked="0"/>
    </xf>
    <xf numFmtId="164" fontId="28" fillId="0" borderId="0" xfId="0" applyNumberFormat="1" applyFont="1" applyAlignment="1" applyProtection="1">
      <alignment horizontal="center"/>
      <protection locked="0"/>
    </xf>
    <xf numFmtId="164" fontId="4" fillId="0" borderId="0" xfId="2" applyNumberFormat="1" applyFont="1" applyAlignment="1" applyProtection="1">
      <alignment horizontal="center"/>
      <protection locked="0"/>
    </xf>
    <xf numFmtId="164" fontId="4" fillId="0" borderId="9" xfId="2" applyNumberFormat="1" applyFont="1" applyBorder="1" applyAlignment="1" applyProtection="1">
      <alignment horizontal="center" vertical="center"/>
    </xf>
    <xf numFmtId="0" fontId="33" fillId="5" borderId="4" xfId="0" applyFont="1" applyFill="1" applyBorder="1" applyAlignment="1">
      <alignment horizontal="left"/>
    </xf>
    <xf numFmtId="0" fontId="33" fillId="5" borderId="5" xfId="0" applyFont="1" applyFill="1" applyBorder="1" applyAlignment="1">
      <alignment horizontal="left"/>
    </xf>
    <xf numFmtId="0" fontId="33" fillId="5" borderId="6" xfId="0" applyFont="1" applyFill="1" applyBorder="1" applyAlignment="1">
      <alignment horizontal="left"/>
    </xf>
    <xf numFmtId="0" fontId="33" fillId="8" borderId="7" xfId="0" applyFont="1" applyFill="1" applyBorder="1" applyAlignment="1">
      <alignment vertical="center"/>
    </xf>
    <xf numFmtId="0" fontId="33" fillId="8" borderId="0" xfId="0" applyFont="1" applyFill="1" applyBorder="1" applyAlignment="1">
      <alignment vertical="center"/>
    </xf>
    <xf numFmtId="0" fontId="33" fillId="8" borderId="12" xfId="0" applyFont="1" applyFill="1" applyBorder="1" applyAlignment="1">
      <alignment vertical="center"/>
    </xf>
    <xf numFmtId="0" fontId="33" fillId="11" borderId="7" xfId="0" applyFont="1" applyFill="1" applyBorder="1" applyAlignment="1"/>
    <xf numFmtId="0" fontId="33" fillId="11" borderId="0" xfId="0" applyFont="1" applyFill="1" applyBorder="1" applyAlignment="1"/>
    <xf numFmtId="0" fontId="33" fillId="11" borderId="12" xfId="0" applyFont="1" applyFill="1" applyBorder="1" applyAlignment="1"/>
    <xf numFmtId="0" fontId="33" fillId="10" borderId="7" xfId="0" applyFont="1" applyFill="1" applyBorder="1" applyAlignment="1">
      <alignment vertical="center"/>
    </xf>
    <xf numFmtId="0" fontId="33" fillId="10" borderId="0" xfId="0" applyFont="1" applyFill="1" applyBorder="1" applyAlignment="1">
      <alignment vertical="center"/>
    </xf>
    <xf numFmtId="0" fontId="33" fillId="10" borderId="12" xfId="0" applyFont="1" applyFill="1" applyBorder="1" applyAlignment="1">
      <alignment vertical="center"/>
    </xf>
    <xf numFmtId="0" fontId="33" fillId="5" borderId="7" xfId="0" applyFont="1" applyFill="1" applyBorder="1" applyAlignment="1">
      <alignment vertical="center"/>
    </xf>
    <xf numFmtId="0" fontId="33" fillId="5" borderId="0" xfId="0" applyFont="1" applyFill="1" applyBorder="1" applyAlignment="1">
      <alignment vertical="center"/>
    </xf>
    <xf numFmtId="0" fontId="33" fillId="5" borderId="12" xfId="0" applyFont="1" applyFill="1" applyBorder="1" applyAlignment="1">
      <alignment vertical="center"/>
    </xf>
    <xf numFmtId="0" fontId="33" fillId="0" borderId="1" xfId="0" applyFont="1" applyBorder="1" applyAlignment="1">
      <alignment horizontal="left"/>
    </xf>
    <xf numFmtId="0" fontId="33" fillId="0" borderId="2" xfId="0" applyFont="1" applyBorder="1" applyAlignment="1">
      <alignment horizontal="left"/>
    </xf>
    <xf numFmtId="0" fontId="33" fillId="0" borderId="3" xfId="0" applyFont="1" applyBorder="1" applyAlignment="1">
      <alignment horizontal="left"/>
    </xf>
    <xf numFmtId="0" fontId="22" fillId="8" borderId="63" xfId="0" applyFont="1" applyFill="1" applyBorder="1" applyAlignment="1">
      <alignment horizontal="center" wrapText="1"/>
    </xf>
    <xf numFmtId="0" fontId="22" fillId="8" borderId="64" xfId="0" applyFont="1" applyFill="1" applyBorder="1" applyAlignment="1">
      <alignment horizontal="center" wrapText="1"/>
    </xf>
    <xf numFmtId="0" fontId="22" fillId="8" borderId="65" xfId="0" applyFont="1" applyFill="1" applyBorder="1" applyAlignment="1">
      <alignment horizontal="center" wrapText="1"/>
    </xf>
    <xf numFmtId="0" fontId="22" fillId="8" borderId="66" xfId="0" applyFont="1" applyFill="1" applyBorder="1" applyAlignment="1">
      <alignment horizontal="center" wrapText="1"/>
    </xf>
    <xf numFmtId="0" fontId="22" fillId="8" borderId="5" xfId="0" applyFont="1" applyFill="1" applyBorder="1" applyAlignment="1">
      <alignment horizontal="center" wrapText="1"/>
    </xf>
    <xf numFmtId="0" fontId="22" fillId="8" borderId="67" xfId="0" applyFont="1" applyFill="1" applyBorder="1" applyAlignment="1">
      <alignment horizontal="center" wrapText="1"/>
    </xf>
    <xf numFmtId="164" fontId="22" fillId="8" borderId="73" xfId="0" applyNumberFormat="1" applyFont="1" applyFill="1" applyBorder="1" applyAlignment="1">
      <alignment horizontal="center" vertical="center" wrapText="1"/>
    </xf>
    <xf numFmtId="164" fontId="22" fillId="8" borderId="74" xfId="0" applyNumberFormat="1" applyFont="1" applyFill="1" applyBorder="1" applyAlignment="1">
      <alignment horizontal="center" vertical="center" wrapText="1"/>
    </xf>
    <xf numFmtId="164" fontId="22" fillId="8" borderId="75" xfId="0" applyNumberFormat="1" applyFont="1" applyFill="1" applyBorder="1" applyAlignment="1">
      <alignment horizontal="center" vertical="center" wrapText="1"/>
    </xf>
    <xf numFmtId="0" fontId="22" fillId="8" borderId="55" xfId="0" applyFont="1" applyFill="1" applyBorder="1" applyAlignment="1">
      <alignment horizontal="center"/>
    </xf>
    <xf numFmtId="0" fontId="22" fillId="8" borderId="76" xfId="0" applyFont="1" applyFill="1" applyBorder="1" applyAlignment="1">
      <alignment horizontal="center"/>
    </xf>
    <xf numFmtId="0" fontId="22" fillId="8" borderId="54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center"/>
    </xf>
    <xf numFmtId="0" fontId="22" fillId="0" borderId="55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53" xfId="0" applyFont="1" applyBorder="1" applyAlignment="1">
      <alignment horizontal="left"/>
    </xf>
    <xf numFmtId="0" fontId="0" fillId="5" borderId="0" xfId="0" applyFont="1" applyFill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center"/>
    </xf>
    <xf numFmtId="0" fontId="34" fillId="0" borderId="79" xfId="2" applyFont="1" applyBorder="1" applyAlignment="1" applyProtection="1">
      <alignment horizontal="center"/>
      <protection locked="0"/>
    </xf>
    <xf numFmtId="0" fontId="34" fillId="0" borderId="77" xfId="2" applyFont="1" applyBorder="1" applyAlignment="1" applyProtection="1">
      <alignment horizontal="center"/>
      <protection locked="0"/>
    </xf>
    <xf numFmtId="0" fontId="34" fillId="0" borderId="61" xfId="2" applyFont="1" applyBorder="1" applyAlignment="1" applyProtection="1">
      <alignment horizontal="center"/>
      <protection locked="0"/>
    </xf>
    <xf numFmtId="0" fontId="29" fillId="0" borderId="1" xfId="0" applyFont="1" applyFill="1" applyBorder="1" applyAlignment="1" applyProtection="1">
      <alignment horizontal="center"/>
      <protection locked="0"/>
    </xf>
    <xf numFmtId="0" fontId="29" fillId="0" borderId="2" xfId="0" applyFont="1" applyFill="1" applyBorder="1" applyAlignment="1" applyProtection="1">
      <alignment horizontal="center"/>
      <protection locked="0"/>
    </xf>
    <xf numFmtId="0" fontId="29" fillId="0" borderId="3" xfId="0" applyFont="1" applyFill="1" applyBorder="1" applyAlignment="1" applyProtection="1">
      <alignment horizontal="center"/>
      <protection locked="0"/>
    </xf>
    <xf numFmtId="0" fontId="0" fillId="5" borderId="0" xfId="0" applyFont="1" applyFill="1" applyAlignment="1" applyProtection="1">
      <alignment horizontal="center"/>
      <protection locked="0"/>
    </xf>
    <xf numFmtId="0" fontId="0" fillId="0" borderId="78" xfId="0" applyFont="1" applyFill="1" applyBorder="1" applyAlignment="1">
      <alignment horizontal="center"/>
    </xf>
    <xf numFmtId="0" fontId="0" fillId="0" borderId="7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" fontId="0" fillId="0" borderId="29" xfId="0" applyNumberFormat="1" applyFont="1" applyFill="1" applyBorder="1" applyAlignment="1" applyProtection="1">
      <alignment horizontal="center"/>
      <protection locked="0"/>
    </xf>
    <xf numFmtId="0" fontId="0" fillId="0" borderId="31" xfId="0" applyFont="1" applyFill="1" applyBorder="1" applyAlignment="1" applyProtection="1">
      <alignment horizontal="center"/>
      <protection locked="0"/>
    </xf>
    <xf numFmtId="166" fontId="0" fillId="0" borderId="77" xfId="0" applyNumberFormat="1" applyFont="1" applyFill="1" applyBorder="1" applyAlignment="1" applyProtection="1">
      <alignment horizontal="center"/>
      <protection locked="0"/>
    </xf>
    <xf numFmtId="0" fontId="0" fillId="0" borderId="61" xfId="0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0" fillId="0" borderId="56" xfId="0" applyFont="1" applyBorder="1" applyAlignment="1" applyProtection="1">
      <alignment horizontal="center"/>
      <protection locked="0"/>
    </xf>
    <xf numFmtId="0" fontId="0" fillId="0" borderId="0" xfId="0" applyFont="1" applyFill="1" applyAlignment="1">
      <alignment horizontal="center" vertical="center" wrapText="1"/>
    </xf>
    <xf numFmtId="1" fontId="0" fillId="0" borderId="53" xfId="0" applyNumberFormat="1" applyFont="1" applyBorder="1" applyAlignment="1">
      <alignment horizontal="center"/>
    </xf>
    <xf numFmtId="0" fontId="3" fillId="0" borderId="0" xfId="2" applyFont="1" applyAlignment="1" applyProtection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4" fillId="0" borderId="0" xfId="2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0" fontId="31" fillId="0" borderId="7" xfId="2" applyFont="1" applyBorder="1" applyAlignment="1" applyProtection="1">
      <alignment horizontal="center" vertical="center" wrapText="1"/>
    </xf>
    <xf numFmtId="0" fontId="31" fillId="0" borderId="0" xfId="2" applyFont="1" applyBorder="1" applyAlignment="1" applyProtection="1">
      <alignment horizontal="center" vertical="center" wrapText="1"/>
    </xf>
    <xf numFmtId="0" fontId="31" fillId="0" borderId="12" xfId="2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vertical="center"/>
    </xf>
    <xf numFmtId="0" fontId="5" fillId="0" borderId="0" xfId="2" applyFont="1" applyAlignment="1" applyProtection="1">
      <alignment horizontal="center"/>
    </xf>
    <xf numFmtId="0" fontId="3" fillId="14" borderId="0" xfId="2" applyFont="1" applyFill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vertical="center" wrapText="1"/>
    </xf>
    <xf numFmtId="2" fontId="28" fillId="12" borderId="22" xfId="0" applyNumberFormat="1" applyFont="1" applyFill="1" applyBorder="1" applyAlignment="1">
      <alignment horizontal="center" vertical="center" wrapText="1"/>
    </xf>
    <xf numFmtId="0" fontId="28" fillId="12" borderId="23" xfId="0" applyFont="1" applyFill="1" applyBorder="1" applyAlignment="1">
      <alignment horizontal="center" vertical="center" wrapText="1"/>
    </xf>
    <xf numFmtId="0" fontId="28" fillId="12" borderId="19" xfId="0" applyFont="1" applyFill="1" applyBorder="1" applyAlignment="1">
      <alignment horizontal="center" vertical="center" wrapText="1"/>
    </xf>
    <xf numFmtId="0" fontId="28" fillId="12" borderId="20" xfId="0" applyFont="1" applyFill="1" applyBorder="1" applyAlignment="1">
      <alignment horizontal="center" vertical="center" wrapText="1"/>
    </xf>
    <xf numFmtId="2" fontId="28" fillId="8" borderId="22" xfId="0" applyNumberFormat="1" applyFont="1" applyFill="1" applyBorder="1" applyAlignment="1">
      <alignment horizontal="center" vertical="center" wrapText="1"/>
    </xf>
    <xf numFmtId="0" fontId="28" fillId="8" borderId="22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37" fillId="0" borderId="78" xfId="0" applyFont="1" applyFill="1" applyBorder="1" applyAlignment="1">
      <alignment horizontal="center" vertical="center" wrapText="1"/>
    </xf>
    <xf numFmtId="0" fontId="37" fillId="0" borderId="77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2" fontId="37" fillId="0" borderId="77" xfId="0" applyNumberFormat="1" applyFont="1" applyFill="1" applyBorder="1" applyAlignment="1">
      <alignment horizontal="center" vertical="center" wrapText="1"/>
    </xf>
    <xf numFmtId="2" fontId="37" fillId="0" borderId="29" xfId="0" applyNumberFormat="1" applyFont="1" applyFill="1" applyBorder="1" applyAlignment="1">
      <alignment horizontal="center" vertical="center" wrapText="1"/>
    </xf>
    <xf numFmtId="2" fontId="28" fillId="13" borderId="19" xfId="0" applyNumberFormat="1" applyFont="1" applyFill="1" applyBorder="1" applyAlignment="1">
      <alignment horizontal="center" vertical="center" wrapText="1"/>
    </xf>
    <xf numFmtId="0" fontId="28" fillId="13" borderId="20" xfId="0" applyFont="1" applyFill="1" applyBorder="1" applyAlignment="1">
      <alignment horizontal="center" vertical="center" wrapText="1"/>
    </xf>
    <xf numFmtId="0" fontId="28" fillId="13" borderId="25" xfId="0" applyFont="1" applyFill="1" applyBorder="1" applyAlignment="1">
      <alignment horizontal="center" vertical="center" wrapText="1"/>
    </xf>
    <xf numFmtId="0" fontId="28" fillId="13" borderId="51" xfId="0" applyFont="1" applyFill="1" applyBorder="1" applyAlignment="1">
      <alignment horizontal="center" vertical="center" wrapText="1"/>
    </xf>
    <xf numFmtId="2" fontId="28" fillId="7" borderId="19" xfId="0" applyNumberFormat="1" applyFont="1" applyFill="1" applyBorder="1" applyAlignment="1">
      <alignment horizontal="center" vertical="center" wrapText="1"/>
    </xf>
    <xf numFmtId="0" fontId="28" fillId="7" borderId="19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2" fontId="28" fillId="9" borderId="19" xfId="0" applyNumberFormat="1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 wrapText="1"/>
    </xf>
    <xf numFmtId="0" fontId="28" fillId="9" borderId="19" xfId="0" applyFont="1" applyFill="1" applyBorder="1" applyAlignment="1">
      <alignment horizontal="center" vertical="center" wrapText="1"/>
    </xf>
    <xf numFmtId="2" fontId="28" fillId="6" borderId="19" xfId="0" applyNumberFormat="1" applyFont="1" applyFill="1" applyBorder="1" applyAlignment="1">
      <alignment horizontal="center" vertical="center" wrapText="1"/>
    </xf>
    <xf numFmtId="0" fontId="28" fillId="6" borderId="19" xfId="0" applyFont="1" applyFill="1" applyBorder="1" applyAlignment="1">
      <alignment horizontal="center" vertical="center" wrapText="1"/>
    </xf>
    <xf numFmtId="0" fontId="10" fillId="0" borderId="19" xfId="2" applyFont="1" applyFill="1" applyBorder="1" applyAlignment="1" applyProtection="1">
      <alignment horizontal="center"/>
    </xf>
    <xf numFmtId="0" fontId="10" fillId="0" borderId="20" xfId="2" applyFont="1" applyFill="1" applyBorder="1" applyAlignment="1" applyProtection="1">
      <alignment horizontal="center"/>
    </xf>
    <xf numFmtId="0" fontId="5" fillId="0" borderId="1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7" fillId="0" borderId="7" xfId="2" applyFont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 wrapText="1"/>
    </xf>
    <xf numFmtId="0" fontId="4" fillId="0" borderId="4" xfId="2" applyFont="1" applyBorder="1" applyAlignment="1" applyProtection="1">
      <alignment horizontal="left" vertical="center"/>
    </xf>
    <xf numFmtId="0" fontId="4" fillId="0" borderId="5" xfId="2" applyFont="1" applyBorder="1" applyAlignment="1" applyProtection="1">
      <alignment horizontal="left" vertical="center"/>
    </xf>
    <xf numFmtId="0" fontId="4" fillId="0" borderId="36" xfId="2" applyFont="1" applyBorder="1" applyAlignment="1" applyProtection="1">
      <alignment horizontal="left" vertical="center"/>
    </xf>
    <xf numFmtId="0" fontId="4" fillId="0" borderId="7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52" xfId="2" applyFont="1" applyBorder="1" applyAlignment="1" applyProtection="1">
      <alignment horizontal="left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2" xfId="2" applyFont="1" applyBorder="1" applyAlignment="1" applyProtection="1">
      <alignment horizontal="left" vertical="center"/>
    </xf>
    <xf numFmtId="0" fontId="4" fillId="0" borderId="60" xfId="2" applyFont="1" applyBorder="1" applyAlignment="1" applyProtection="1">
      <alignment horizontal="left" vertical="center"/>
    </xf>
    <xf numFmtId="0" fontId="36" fillId="0" borderId="19" xfId="0" applyFont="1" applyFill="1" applyBorder="1" applyAlignment="1">
      <alignment horizontal="center" wrapText="1"/>
    </xf>
    <xf numFmtId="0" fontId="36" fillId="0" borderId="29" xfId="0" applyFont="1" applyFill="1" applyBorder="1" applyAlignment="1">
      <alignment horizontal="center" wrapText="1"/>
    </xf>
    <xf numFmtId="0" fontId="36" fillId="0" borderId="20" xfId="0" applyFont="1" applyFill="1" applyBorder="1" applyAlignment="1">
      <alignment horizontal="center" wrapText="1"/>
    </xf>
    <xf numFmtId="0" fontId="36" fillId="0" borderId="31" xfId="0" applyFont="1" applyFill="1" applyBorder="1" applyAlignment="1">
      <alignment horizontal="center" wrapText="1"/>
    </xf>
    <xf numFmtId="0" fontId="36" fillId="0" borderId="18" xfId="0" applyFont="1" applyFill="1" applyBorder="1" applyAlignment="1">
      <alignment horizontal="center" wrapText="1"/>
    </xf>
    <xf numFmtId="0" fontId="36" fillId="0" borderId="28" xfId="0" applyFont="1" applyFill="1" applyBorder="1" applyAlignment="1">
      <alignment horizontal="center" wrapText="1"/>
    </xf>
    <xf numFmtId="0" fontId="10" fillId="0" borderId="7" xfId="2" applyFont="1" applyBorder="1" applyAlignment="1" applyProtection="1">
      <alignment horizontal="left" vertical="center"/>
    </xf>
    <xf numFmtId="0" fontId="10" fillId="0" borderId="0" xfId="2" applyFont="1" applyBorder="1" applyAlignment="1" applyProtection="1">
      <alignment horizontal="left" vertical="center"/>
    </xf>
    <xf numFmtId="0" fontId="9" fillId="0" borderId="1" xfId="2" applyFont="1" applyBorder="1" applyAlignment="1" applyProtection="1">
      <alignment horizontal="center" vertical="center" wrapText="1"/>
    </xf>
    <xf numFmtId="0" fontId="9" fillId="0" borderId="2" xfId="2" applyFont="1" applyBorder="1" applyAlignment="1" applyProtection="1">
      <alignment horizontal="center" vertical="center" wrapText="1"/>
    </xf>
    <xf numFmtId="0" fontId="9" fillId="0" borderId="3" xfId="2" applyFont="1" applyBorder="1" applyAlignment="1" applyProtection="1">
      <alignment horizontal="center" vertical="center" wrapText="1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horizontal="center" vertical="center" wrapText="1"/>
    </xf>
    <xf numFmtId="0" fontId="9" fillId="0" borderId="12" xfId="2" applyFont="1" applyBorder="1" applyAlignment="1" applyProtection="1">
      <alignment horizontal="center" vertical="center" wrapText="1"/>
    </xf>
    <xf numFmtId="0" fontId="9" fillId="0" borderId="4" xfId="2" applyFont="1" applyBorder="1" applyAlignment="1" applyProtection="1">
      <alignment horizontal="center" vertical="center" wrapText="1"/>
    </xf>
    <xf numFmtId="0" fontId="9" fillId="0" borderId="5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2" fontId="10" fillId="3" borderId="8" xfId="2" applyNumberFormat="1" applyFont="1" applyFill="1" applyBorder="1" applyAlignment="1" applyProtection="1">
      <alignment horizontal="center" vertical="center" wrapText="1"/>
    </xf>
    <xf numFmtId="0" fontId="10" fillId="3" borderId="3" xfId="2" applyFont="1" applyFill="1" applyBorder="1" applyAlignment="1" applyProtection="1">
      <alignment horizontal="center" vertical="center" wrapText="1"/>
    </xf>
    <xf numFmtId="0" fontId="10" fillId="3" borderId="9" xfId="2" applyFont="1" applyFill="1" applyBorder="1" applyAlignment="1" applyProtection="1">
      <alignment horizontal="center" vertical="center" wrapText="1"/>
    </xf>
    <xf numFmtId="0" fontId="10" fillId="3" borderId="11" xfId="2" applyFont="1" applyFill="1" applyBorder="1" applyAlignment="1" applyProtection="1">
      <alignment horizontal="center" vertical="center" wrapText="1"/>
    </xf>
    <xf numFmtId="2" fontId="10" fillId="0" borderId="19" xfId="2" applyNumberFormat="1" applyFont="1" applyFill="1" applyBorder="1" applyAlignment="1" applyProtection="1">
      <alignment horizontal="center"/>
    </xf>
    <xf numFmtId="2" fontId="10" fillId="0" borderId="20" xfId="2" applyNumberFormat="1" applyFont="1" applyFill="1" applyBorder="1" applyAlignment="1" applyProtection="1">
      <alignment horizontal="center"/>
    </xf>
    <xf numFmtId="0" fontId="10" fillId="0" borderId="52" xfId="2" applyFont="1" applyBorder="1" applyAlignment="1" applyProtection="1">
      <alignment horizontal="left" vertical="center"/>
    </xf>
    <xf numFmtId="0" fontId="10" fillId="0" borderId="4" xfId="2" applyFont="1" applyBorder="1" applyAlignment="1" applyProtection="1">
      <alignment horizontal="left" vertical="center"/>
    </xf>
    <xf numFmtId="0" fontId="10" fillId="0" borderId="5" xfId="2" applyFont="1" applyBorder="1" applyAlignment="1" applyProtection="1">
      <alignment horizontal="left" vertical="center"/>
    </xf>
    <xf numFmtId="0" fontId="10" fillId="0" borderId="36" xfId="2" applyFont="1" applyBorder="1" applyAlignment="1" applyProtection="1">
      <alignment horizontal="left" vertical="center"/>
    </xf>
    <xf numFmtId="2" fontId="10" fillId="0" borderId="19" xfId="2" applyNumberFormat="1" applyFont="1" applyBorder="1" applyAlignment="1" applyProtection="1">
      <alignment horizontal="center"/>
    </xf>
    <xf numFmtId="2" fontId="10" fillId="0" borderId="20" xfId="2" applyNumberFormat="1" applyFont="1" applyBorder="1" applyAlignment="1" applyProtection="1">
      <alignment horizontal="center"/>
    </xf>
    <xf numFmtId="2" fontId="10" fillId="0" borderId="25" xfId="2" applyNumberFormat="1" applyFont="1" applyBorder="1" applyAlignment="1" applyProtection="1">
      <alignment horizontal="center"/>
    </xf>
    <xf numFmtId="2" fontId="10" fillId="0" borderId="51" xfId="2" applyNumberFormat="1" applyFont="1" applyBorder="1" applyAlignment="1" applyProtection="1">
      <alignment horizont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16" fillId="0" borderId="7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horizontal="center" vertical="center" wrapText="1"/>
    </xf>
    <xf numFmtId="0" fontId="16" fillId="0" borderId="12" xfId="2" applyFont="1" applyBorder="1" applyAlignment="1" applyProtection="1">
      <alignment horizontal="center" vertical="center" wrapText="1"/>
    </xf>
    <xf numFmtId="0" fontId="28" fillId="0" borderId="80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9" fillId="0" borderId="78" xfId="2" applyFont="1" applyFill="1" applyBorder="1" applyAlignment="1" applyProtection="1">
      <alignment horizontal="center" vertical="center" wrapText="1"/>
    </xf>
    <xf numFmtId="0" fontId="9" fillId="0" borderId="77" xfId="2" applyFont="1" applyFill="1" applyBorder="1" applyAlignment="1" applyProtection="1">
      <alignment horizontal="center" vertical="center" wrapText="1"/>
    </xf>
    <xf numFmtId="0" fontId="9" fillId="0" borderId="61" xfId="2" applyFont="1" applyFill="1" applyBorder="1" applyAlignment="1" applyProtection="1">
      <alignment horizontal="center" vertical="center" wrapText="1"/>
    </xf>
    <xf numFmtId="0" fontId="9" fillId="0" borderId="18" xfId="2" applyFont="1" applyFill="1" applyBorder="1" applyAlignment="1" applyProtection="1">
      <alignment horizontal="center" vertical="center" wrapText="1"/>
    </xf>
    <xf numFmtId="0" fontId="9" fillId="0" borderId="19" xfId="2" applyFont="1" applyFill="1" applyBorder="1" applyAlignment="1" applyProtection="1">
      <alignment horizontal="center" vertical="center" wrapText="1"/>
    </xf>
    <xf numFmtId="0" fontId="9" fillId="0" borderId="20" xfId="2" applyFont="1" applyFill="1" applyBorder="1" applyAlignment="1" applyProtection="1">
      <alignment horizontal="center" vertical="center" wrapText="1"/>
    </xf>
    <xf numFmtId="0" fontId="4" fillId="0" borderId="48" xfId="2" applyFont="1" applyBorder="1" applyAlignment="1" applyProtection="1">
      <alignment horizontal="center" wrapText="1"/>
    </xf>
    <xf numFmtId="0" fontId="4" fillId="0" borderId="41" xfId="2" applyFont="1" applyBorder="1" applyAlignment="1" applyProtection="1">
      <alignment horizontal="center" wrapText="1"/>
    </xf>
    <xf numFmtId="0" fontId="4" fillId="0" borderId="50" xfId="2" applyFont="1" applyBorder="1" applyAlignment="1" applyProtection="1">
      <alignment horizontal="center" wrapText="1"/>
    </xf>
    <xf numFmtId="0" fontId="4" fillId="0" borderId="42" xfId="2" applyFont="1" applyBorder="1" applyAlignment="1" applyProtection="1">
      <alignment horizontal="center" wrapText="1"/>
    </xf>
    <xf numFmtId="0" fontId="3" fillId="0" borderId="0" xfId="2" applyFont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</xf>
    <xf numFmtId="0" fontId="4" fillId="0" borderId="21" xfId="2" applyFont="1" applyBorder="1" applyAlignment="1" applyProtection="1">
      <alignment wrapText="1"/>
    </xf>
    <xf numFmtId="0" fontId="4" fillId="0" borderId="22" xfId="2" applyFont="1" applyBorder="1" applyAlignment="1" applyProtection="1">
      <alignment wrapText="1"/>
    </xf>
    <xf numFmtId="0" fontId="4" fillId="0" borderId="23" xfId="2" applyFont="1" applyBorder="1" applyAlignment="1" applyProtection="1">
      <alignment wrapText="1"/>
    </xf>
    <xf numFmtId="0" fontId="5" fillId="0" borderId="15" xfId="2" applyFont="1" applyBorder="1" applyAlignment="1" applyProtection="1">
      <alignment horizontal="left" wrapText="1"/>
    </xf>
    <xf numFmtId="0" fontId="5" fillId="0" borderId="16" xfId="2" applyFont="1" applyBorder="1" applyAlignment="1" applyProtection="1">
      <alignment horizontal="left" wrapText="1"/>
    </xf>
    <xf numFmtId="0" fontId="5" fillId="0" borderId="17" xfId="2" applyFont="1" applyBorder="1" applyAlignment="1" applyProtection="1">
      <alignment horizontal="left" wrapText="1"/>
    </xf>
    <xf numFmtId="0" fontId="5" fillId="0" borderId="32" xfId="2" applyFont="1" applyBorder="1" applyAlignment="1" applyProtection="1">
      <alignment wrapText="1"/>
    </xf>
    <xf numFmtId="0" fontId="5" fillId="0" borderId="33" xfId="2" applyFont="1" applyBorder="1" applyAlignment="1" applyProtection="1">
      <alignment wrapText="1"/>
    </xf>
    <xf numFmtId="0" fontId="5" fillId="0" borderId="8" xfId="2" applyFont="1" applyBorder="1" applyAlignment="1" applyProtection="1">
      <alignment wrapText="1"/>
    </xf>
    <xf numFmtId="0" fontId="4" fillId="0" borderId="34" xfId="2" applyFont="1" applyBorder="1" applyAlignment="1" applyProtection="1">
      <alignment horizontal="center" wrapText="1"/>
    </xf>
    <xf numFmtId="0" fontId="4" fillId="0" borderId="35" xfId="2" applyFont="1" applyBorder="1" applyAlignment="1" applyProtection="1">
      <alignment horizontal="center" wrapText="1"/>
    </xf>
    <xf numFmtId="0" fontId="4" fillId="0" borderId="1" xfId="2" applyFont="1" applyBorder="1" applyAlignment="1" applyProtection="1">
      <alignment horizontal="center" wrapText="1"/>
    </xf>
    <xf numFmtId="0" fontId="4" fillId="0" borderId="2" xfId="2" applyFont="1" applyBorder="1" applyAlignment="1" applyProtection="1">
      <alignment horizontal="center" wrapText="1"/>
    </xf>
    <xf numFmtId="0" fontId="4" fillId="0" borderId="3" xfId="2" applyFont="1" applyBorder="1" applyAlignment="1" applyProtection="1">
      <alignment horizontal="center" wrapText="1"/>
    </xf>
    <xf numFmtId="0" fontId="5" fillId="0" borderId="36" xfId="2" applyFont="1" applyBorder="1" applyAlignment="1" applyProtection="1">
      <alignment horizontal="center" wrapText="1"/>
    </xf>
    <xf numFmtId="0" fontId="5" fillId="0" borderId="37" xfId="2" applyFont="1" applyBorder="1" applyAlignment="1" applyProtection="1">
      <alignment horizontal="center" wrapText="1"/>
    </xf>
    <xf numFmtId="0" fontId="5" fillId="0" borderId="38" xfId="2" applyFont="1" applyBorder="1" applyAlignment="1" applyProtection="1">
      <alignment horizontal="center" wrapText="1"/>
    </xf>
    <xf numFmtId="0" fontId="5" fillId="0" borderId="39" xfId="2" applyFont="1" applyBorder="1" applyAlignment="1" applyProtection="1">
      <alignment horizontal="left" wrapText="1"/>
    </xf>
    <xf numFmtId="0" fontId="5" fillId="0" borderId="37" xfId="2" applyFont="1" applyBorder="1" applyAlignment="1" applyProtection="1">
      <alignment horizontal="left" wrapText="1"/>
    </xf>
    <xf numFmtId="0" fontId="5" fillId="0" borderId="38" xfId="2" applyFont="1" applyBorder="1" applyAlignment="1" applyProtection="1">
      <alignment horizontal="left" wrapText="1"/>
    </xf>
    <xf numFmtId="0" fontId="4" fillId="0" borderId="18" xfId="2" applyFont="1" applyBorder="1" applyAlignment="1" applyProtection="1">
      <alignment wrapText="1"/>
    </xf>
    <xf numFmtId="0" fontId="4" fillId="0" borderId="19" xfId="2" applyFont="1" applyBorder="1" applyAlignment="1" applyProtection="1">
      <alignment wrapText="1"/>
    </xf>
    <xf numFmtId="0" fontId="4" fillId="0" borderId="20" xfId="2" applyFont="1" applyBorder="1" applyAlignment="1" applyProtection="1">
      <alignment wrapText="1"/>
    </xf>
    <xf numFmtId="0" fontId="4" fillId="0" borderId="28" xfId="2" applyFont="1" applyBorder="1" applyAlignment="1" applyProtection="1">
      <alignment wrapText="1"/>
    </xf>
    <xf numFmtId="0" fontId="4" fillId="0" borderId="29" xfId="2" applyFont="1" applyBorder="1" applyAlignment="1" applyProtection="1">
      <alignment wrapText="1"/>
    </xf>
    <xf numFmtId="0" fontId="4" fillId="0" borderId="31" xfId="2" applyFont="1" applyBorder="1" applyAlignment="1" applyProtection="1">
      <alignment wrapText="1"/>
    </xf>
    <xf numFmtId="0" fontId="5" fillId="0" borderId="43" xfId="2" applyFont="1" applyBorder="1" applyAlignment="1" applyProtection="1">
      <alignment wrapText="1"/>
    </xf>
    <xf numFmtId="0" fontId="5" fillId="0" borderId="34" xfId="2" applyFont="1" applyBorder="1" applyAlignment="1" applyProtection="1">
      <alignment wrapText="1"/>
    </xf>
    <xf numFmtId="0" fontId="5" fillId="0" borderId="44" xfId="2" applyFont="1" applyBorder="1" applyAlignment="1" applyProtection="1">
      <alignment horizontal="center" wrapText="1"/>
    </xf>
    <xf numFmtId="0" fontId="5" fillId="0" borderId="7" xfId="2" applyFont="1" applyBorder="1" applyAlignment="1" applyProtection="1">
      <alignment horizontal="center" wrapText="1"/>
    </xf>
    <xf numFmtId="0" fontId="5" fillId="0" borderId="24" xfId="2" applyFont="1" applyBorder="1" applyAlignment="1" applyProtection="1">
      <alignment horizontal="center" wrapText="1"/>
    </xf>
    <xf numFmtId="0" fontId="5" fillId="0" borderId="27" xfId="2" applyFont="1" applyBorder="1" applyAlignment="1" applyProtection="1">
      <alignment horizontal="center" wrapText="1"/>
    </xf>
    <xf numFmtId="0" fontId="5" fillId="0" borderId="46" xfId="2" applyFont="1" applyBorder="1" applyAlignment="1" applyProtection="1">
      <alignment horizontal="center" wrapText="1"/>
    </xf>
    <xf numFmtId="0" fontId="5" fillId="0" borderId="9" xfId="2" applyFont="1" applyBorder="1" applyAlignment="1" applyProtection="1">
      <alignment horizontal="center" wrapText="1"/>
    </xf>
    <xf numFmtId="0" fontId="5" fillId="0" borderId="40" xfId="2" applyFont="1" applyBorder="1" applyAlignment="1" applyProtection="1">
      <alignment horizontal="center" wrapText="1"/>
    </xf>
    <xf numFmtId="0" fontId="4" fillId="0" borderId="0" xfId="2" applyFont="1" applyBorder="1" applyAlignment="1" applyProtection="1">
      <alignment horizontal="center" wrapText="1"/>
    </xf>
    <xf numFmtId="0" fontId="4" fillId="0" borderId="12" xfId="2" applyFont="1" applyBorder="1" applyAlignment="1" applyProtection="1">
      <alignment horizontal="center" wrapText="1"/>
    </xf>
    <xf numFmtId="0" fontId="5" fillId="0" borderId="47" xfId="2" applyFont="1" applyBorder="1" applyAlignment="1" applyProtection="1">
      <alignment horizontal="center" wrapText="1"/>
    </xf>
    <xf numFmtId="0" fontId="5" fillId="0" borderId="47" xfId="2" applyFont="1" applyBorder="1" applyAlignment="1" applyProtection="1">
      <alignment wrapText="1"/>
    </xf>
    <xf numFmtId="0" fontId="5" fillId="0" borderId="10" xfId="2" applyFont="1" applyBorder="1" applyAlignment="1" applyProtection="1">
      <alignment wrapText="1"/>
    </xf>
    <xf numFmtId="0" fontId="5" fillId="0" borderId="24" xfId="4" applyFont="1" applyBorder="1" applyAlignment="1">
      <alignment horizontal="center"/>
    </xf>
    <xf numFmtId="0" fontId="5" fillId="0" borderId="27" xfId="4" applyFont="1" applyBorder="1" applyAlignment="1">
      <alignment horizontal="center"/>
    </xf>
    <xf numFmtId="0" fontId="5" fillId="0" borderId="41" xfId="4" applyFont="1" applyBorder="1" applyAlignment="1">
      <alignment horizontal="center"/>
    </xf>
    <xf numFmtId="0" fontId="9" fillId="0" borderId="0" xfId="4" applyFont="1" applyAlignment="1">
      <alignment horizontal="center" vertical="center"/>
    </xf>
    <xf numFmtId="0" fontId="5" fillId="0" borderId="0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/>
    </xf>
    <xf numFmtId="0" fontId="18" fillId="0" borderId="10" xfId="2" applyFont="1" applyBorder="1" applyAlignment="1">
      <alignment horizontal="center"/>
    </xf>
    <xf numFmtId="0" fontId="17" fillId="0" borderId="9" xfId="2" applyFont="1" applyBorder="1" applyAlignment="1">
      <alignment horizontal="center"/>
    </xf>
    <xf numFmtId="0" fontId="17" fillId="0" borderId="10" xfId="2" applyFont="1" applyBorder="1" applyAlignment="1">
      <alignment horizontal="center"/>
    </xf>
    <xf numFmtId="0" fontId="17" fillId="0" borderId="40" xfId="2" applyFont="1" applyBorder="1" applyAlignment="1">
      <alignment horizontal="center"/>
    </xf>
    <xf numFmtId="0" fontId="17" fillId="0" borderId="13" xfId="2" applyFont="1" applyBorder="1" applyAlignment="1">
      <alignment horizontal="center"/>
    </xf>
    <xf numFmtId="0" fontId="17" fillId="0" borderId="14" xfId="2" applyFont="1" applyBorder="1" applyAlignment="1">
      <alignment horizontal="center"/>
    </xf>
    <xf numFmtId="0" fontId="17" fillId="0" borderId="45" xfId="2" applyFont="1" applyBorder="1" applyAlignment="1">
      <alignment horizontal="center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4" xr:uid="{00000000-0005-0000-0000-000003000000}"/>
    <cellStyle name="Normal_Voltage Drop Data" xfId="3" xr:uid="{00000000-0005-0000-0000-000004000000}"/>
  </cellStyles>
  <dxfs count="26">
    <dxf>
      <fill>
        <patternFill>
          <bgColor theme="7" tint="0.39994506668294322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/>
        <right/>
        <top/>
        <bottom/>
      </border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66FF33"/>
      <color rgb="FFFF9966"/>
      <color rgb="FF00FFFF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Scroll" dx="39" fmlaLink="S8" horiz="1" inc="2" max="300" page="10" val="0"/>
</file>

<file path=xl/ctrlProps/ctrlProp10.xml><?xml version="1.0" encoding="utf-8"?>
<formControlPr xmlns="http://schemas.microsoft.com/office/spreadsheetml/2009/9/main" objectType="Scroll" dx="39" fmlaLink="Q16" horiz="1" inc="100" max="5000" page="10" val="0"/>
</file>

<file path=xl/ctrlProps/ctrlProp11.xml><?xml version="1.0" encoding="utf-8"?>
<formControlPr xmlns="http://schemas.microsoft.com/office/spreadsheetml/2009/9/main" objectType="Scroll" dx="39" fmlaLink="Q17" horiz="1" inc="100" max="5000" page="10" val="0"/>
</file>

<file path=xl/ctrlProps/ctrlProp12.xml><?xml version="1.0" encoding="utf-8"?>
<formControlPr xmlns="http://schemas.microsoft.com/office/spreadsheetml/2009/9/main" objectType="CheckBox" fmlaLink="R8" lockText="1" noThreeD="1"/>
</file>

<file path=xl/ctrlProps/ctrlProp13.xml><?xml version="1.0" encoding="utf-8"?>
<formControlPr xmlns="http://schemas.microsoft.com/office/spreadsheetml/2009/9/main" objectType="CheckBox" fmlaLink="R9" lockText="1" noThreeD="1"/>
</file>

<file path=xl/ctrlProps/ctrlProp14.xml><?xml version="1.0" encoding="utf-8"?>
<formControlPr xmlns="http://schemas.microsoft.com/office/spreadsheetml/2009/9/main" objectType="CheckBox" fmlaLink="R10" lockText="1" noThreeD="1"/>
</file>

<file path=xl/ctrlProps/ctrlProp15.xml><?xml version="1.0" encoding="utf-8"?>
<formControlPr xmlns="http://schemas.microsoft.com/office/spreadsheetml/2009/9/main" objectType="CheckBox" fmlaLink="R11" lockText="1" noThreeD="1"/>
</file>

<file path=xl/ctrlProps/ctrlProp16.xml><?xml version="1.0" encoding="utf-8"?>
<formControlPr xmlns="http://schemas.microsoft.com/office/spreadsheetml/2009/9/main" objectType="CheckBox" fmlaLink="R12" lockText="1" noThreeD="1"/>
</file>

<file path=xl/ctrlProps/ctrlProp17.xml><?xml version="1.0" encoding="utf-8"?>
<formControlPr xmlns="http://schemas.microsoft.com/office/spreadsheetml/2009/9/main" objectType="CheckBox" fmlaLink="R13" lockText="1" noThreeD="1"/>
</file>

<file path=xl/ctrlProps/ctrlProp18.xml><?xml version="1.0" encoding="utf-8"?>
<formControlPr xmlns="http://schemas.microsoft.com/office/spreadsheetml/2009/9/main" objectType="CheckBox" fmlaLink="R14" lockText="1" noThreeD="1"/>
</file>

<file path=xl/ctrlProps/ctrlProp19.xml><?xml version="1.0" encoding="utf-8"?>
<formControlPr xmlns="http://schemas.microsoft.com/office/spreadsheetml/2009/9/main" objectType="CheckBox" fmlaLink="R15" lockText="1" noThreeD="1"/>
</file>

<file path=xl/ctrlProps/ctrlProp2.xml><?xml version="1.0" encoding="utf-8"?>
<formControlPr xmlns="http://schemas.microsoft.com/office/spreadsheetml/2009/9/main" objectType="Scroll" dx="39" fmlaLink="Q8" horiz="1" inc="100" max="5000" page="10" val="0"/>
</file>

<file path=xl/ctrlProps/ctrlProp20.xml><?xml version="1.0" encoding="utf-8"?>
<formControlPr xmlns="http://schemas.microsoft.com/office/spreadsheetml/2009/9/main" objectType="CheckBox" fmlaLink="R16" lockText="1" noThreeD="1"/>
</file>

<file path=xl/ctrlProps/ctrlProp21.xml><?xml version="1.0" encoding="utf-8"?>
<formControlPr xmlns="http://schemas.microsoft.com/office/spreadsheetml/2009/9/main" objectType="CheckBox" fmlaLink="R17" lockText="1" noThreeD="1"/>
</file>

<file path=xl/ctrlProps/ctrlProp22.xml><?xml version="1.0" encoding="utf-8"?>
<formControlPr xmlns="http://schemas.microsoft.com/office/spreadsheetml/2009/9/main" objectType="Scroll" dx="39" fmlaLink="S8" horiz="1" max="300" page="10" val="0"/>
</file>

<file path=xl/ctrlProps/ctrlProp23.xml><?xml version="1.0" encoding="utf-8"?>
<formControlPr xmlns="http://schemas.microsoft.com/office/spreadsheetml/2009/9/main" objectType="Scroll" dx="39" fmlaLink="T8" horiz="1" max="400" page="10" val="0"/>
</file>

<file path=xl/ctrlProps/ctrlProp24.xml><?xml version="1.0" encoding="utf-8"?>
<formControlPr xmlns="http://schemas.microsoft.com/office/spreadsheetml/2009/9/main" objectType="Scroll" dx="39" fmlaLink="S9" horiz="1" max="300" page="10" val="0"/>
</file>

<file path=xl/ctrlProps/ctrlProp25.xml><?xml version="1.0" encoding="utf-8"?>
<formControlPr xmlns="http://schemas.microsoft.com/office/spreadsheetml/2009/9/main" objectType="Scroll" dx="39" fmlaLink="S10" horiz="1" max="300" page="10" val="0"/>
</file>

<file path=xl/ctrlProps/ctrlProp26.xml><?xml version="1.0" encoding="utf-8"?>
<formControlPr xmlns="http://schemas.microsoft.com/office/spreadsheetml/2009/9/main" objectType="Scroll" dx="39" fmlaLink="S11" horiz="1" max="300" page="10" val="0"/>
</file>

<file path=xl/ctrlProps/ctrlProp27.xml><?xml version="1.0" encoding="utf-8"?>
<formControlPr xmlns="http://schemas.microsoft.com/office/spreadsheetml/2009/9/main" objectType="Scroll" dx="39" fmlaLink="S12" horiz="1" max="300" page="10" val="0"/>
</file>

<file path=xl/ctrlProps/ctrlProp28.xml><?xml version="1.0" encoding="utf-8"?>
<formControlPr xmlns="http://schemas.microsoft.com/office/spreadsheetml/2009/9/main" objectType="Scroll" dx="39" fmlaLink="S13" horiz="1" max="300" page="10" val="0"/>
</file>

<file path=xl/ctrlProps/ctrlProp29.xml><?xml version="1.0" encoding="utf-8"?>
<formControlPr xmlns="http://schemas.microsoft.com/office/spreadsheetml/2009/9/main" objectType="Scroll" dx="39" fmlaLink="S14" horiz="1" max="300" page="10" val="0"/>
</file>

<file path=xl/ctrlProps/ctrlProp3.xml><?xml version="1.0" encoding="utf-8"?>
<formControlPr xmlns="http://schemas.microsoft.com/office/spreadsheetml/2009/9/main" objectType="Scroll" dx="39" fmlaLink="Q9" horiz="1" inc="100" max="5000" page="10" val="0"/>
</file>

<file path=xl/ctrlProps/ctrlProp30.xml><?xml version="1.0" encoding="utf-8"?>
<formControlPr xmlns="http://schemas.microsoft.com/office/spreadsheetml/2009/9/main" objectType="Scroll" dx="39" fmlaLink="S15" horiz="1" max="300" page="10" val="0"/>
</file>

<file path=xl/ctrlProps/ctrlProp31.xml><?xml version="1.0" encoding="utf-8"?>
<formControlPr xmlns="http://schemas.microsoft.com/office/spreadsheetml/2009/9/main" objectType="Scroll" dx="39" fmlaLink="S16" horiz="1" max="300" page="10" val="0"/>
</file>

<file path=xl/ctrlProps/ctrlProp32.xml><?xml version="1.0" encoding="utf-8"?>
<formControlPr xmlns="http://schemas.microsoft.com/office/spreadsheetml/2009/9/main" objectType="Scroll" dx="39" fmlaLink="S17" horiz="1" max="300" page="10" val="0"/>
</file>

<file path=xl/ctrlProps/ctrlProp33.xml><?xml version="1.0" encoding="utf-8"?>
<formControlPr xmlns="http://schemas.microsoft.com/office/spreadsheetml/2009/9/main" objectType="Scroll" dx="39" fmlaLink="T9" horiz="1" max="400" page="10" val="0"/>
</file>

<file path=xl/ctrlProps/ctrlProp34.xml><?xml version="1.0" encoding="utf-8"?>
<formControlPr xmlns="http://schemas.microsoft.com/office/spreadsheetml/2009/9/main" objectType="Scroll" dx="39" fmlaLink="T10" horiz="1" max="400" page="10" val="0"/>
</file>

<file path=xl/ctrlProps/ctrlProp35.xml><?xml version="1.0" encoding="utf-8"?>
<formControlPr xmlns="http://schemas.microsoft.com/office/spreadsheetml/2009/9/main" objectType="Scroll" dx="39" fmlaLink="T11" horiz="1" max="400" page="10" val="0"/>
</file>

<file path=xl/ctrlProps/ctrlProp36.xml><?xml version="1.0" encoding="utf-8"?>
<formControlPr xmlns="http://schemas.microsoft.com/office/spreadsheetml/2009/9/main" objectType="Scroll" dx="39" fmlaLink="T12" horiz="1" max="400" page="10" val="0"/>
</file>

<file path=xl/ctrlProps/ctrlProp37.xml><?xml version="1.0" encoding="utf-8"?>
<formControlPr xmlns="http://schemas.microsoft.com/office/spreadsheetml/2009/9/main" objectType="Scroll" dx="39" fmlaLink="T13" horiz="1" max="400" page="10" val="0"/>
</file>

<file path=xl/ctrlProps/ctrlProp38.xml><?xml version="1.0" encoding="utf-8"?>
<formControlPr xmlns="http://schemas.microsoft.com/office/spreadsheetml/2009/9/main" objectType="Scroll" dx="39" fmlaLink="T14" horiz="1" max="400" page="10" val="0"/>
</file>

<file path=xl/ctrlProps/ctrlProp39.xml><?xml version="1.0" encoding="utf-8"?>
<formControlPr xmlns="http://schemas.microsoft.com/office/spreadsheetml/2009/9/main" objectType="Scroll" dx="39" fmlaLink="T15" horiz="1" max="400" page="10" val="0"/>
</file>

<file path=xl/ctrlProps/ctrlProp4.xml><?xml version="1.0" encoding="utf-8"?>
<formControlPr xmlns="http://schemas.microsoft.com/office/spreadsheetml/2009/9/main" objectType="Scroll" dx="39" fmlaLink="Q10" horiz="1" inc="100" max="5000" page="10" val="0"/>
</file>

<file path=xl/ctrlProps/ctrlProp40.xml><?xml version="1.0" encoding="utf-8"?>
<formControlPr xmlns="http://schemas.microsoft.com/office/spreadsheetml/2009/9/main" objectType="Scroll" dx="39" fmlaLink="T16" horiz="1" max="400" page="10" val="0"/>
</file>

<file path=xl/ctrlProps/ctrlProp41.xml><?xml version="1.0" encoding="utf-8"?>
<formControlPr xmlns="http://schemas.microsoft.com/office/spreadsheetml/2009/9/main" objectType="Scroll" dx="39" fmlaLink="T17" horiz="1" max="400" page="10" val="0"/>
</file>

<file path=xl/ctrlProps/ctrlProp42.xml><?xml version="1.0" encoding="utf-8"?>
<formControlPr xmlns="http://schemas.microsoft.com/office/spreadsheetml/2009/9/main" objectType="Drop" dropStyle="combo" dx="39" fmlaLink="'Step 2 - Transformer Sizing'!$Z$8" fmlaRange="'Step 3 - Calculator'!$AG$29:$AG$36" noThreeD="1" sel="1" val="0"/>
</file>

<file path=xl/ctrlProps/ctrlProp43.xml><?xml version="1.0" encoding="utf-8"?>
<formControlPr xmlns="http://schemas.microsoft.com/office/spreadsheetml/2009/9/main" objectType="CheckBox" fmlaLink="$P$15" lockText="1" noThreeD="1"/>
</file>

<file path=xl/ctrlProps/ctrlProp44.xml><?xml version="1.0" encoding="utf-8"?>
<formControlPr xmlns="http://schemas.microsoft.com/office/spreadsheetml/2009/9/main" objectType="Drop" dropLines="9" dropStyle="combo" dx="39" fmlaLink="$AK$46" fmlaRange="$AJ$46:$AJ$53" noThreeD="1" sel="4" val="0"/>
</file>

<file path=xl/ctrlProps/ctrlProp45.xml><?xml version="1.0" encoding="utf-8"?>
<formControlPr xmlns="http://schemas.microsoft.com/office/spreadsheetml/2009/9/main" objectType="Scroll" dx="15" fmlaLink="$AK$50" horiz="1" inc="10" max="500" page="10" val="120"/>
</file>

<file path=xl/ctrlProps/ctrlProp46.xml><?xml version="1.0" encoding="utf-8"?>
<formControlPr xmlns="http://schemas.microsoft.com/office/spreadsheetml/2009/9/main" objectType="Drop" dropStyle="combo" dx="39" fmlaLink="$AK$53" fmlaRange="$AJ$46:$AJ$53" noThreeD="1" sel="3" val="0"/>
</file>

<file path=xl/ctrlProps/ctrlProp47.xml><?xml version="1.0" encoding="utf-8"?>
<formControlPr xmlns="http://schemas.microsoft.com/office/spreadsheetml/2009/9/main" objectType="Scroll" dx="15" fmlaLink="$AK$55" horiz="1" inc="10" max="500" page="10" val="130"/>
</file>

<file path=xl/ctrlProps/ctrlProp48.xml><?xml version="1.0" encoding="utf-8"?>
<formControlPr xmlns="http://schemas.microsoft.com/office/spreadsheetml/2009/9/main" objectType="CheckBox" fmlaLink="X12" lockText="1" noThreeD="1"/>
</file>

<file path=xl/ctrlProps/ctrlProp49.xml><?xml version="1.0" encoding="utf-8"?>
<formControlPr xmlns="http://schemas.microsoft.com/office/spreadsheetml/2009/9/main" objectType="CheckBox" fmlaLink="X13" lockText="1" noThreeD="1"/>
</file>

<file path=xl/ctrlProps/ctrlProp5.xml><?xml version="1.0" encoding="utf-8"?>
<formControlPr xmlns="http://schemas.microsoft.com/office/spreadsheetml/2009/9/main" objectType="Scroll" dx="39" fmlaLink="Q11" horiz="1" inc="100" max="5000" page="10" val="0"/>
</file>

<file path=xl/ctrlProps/ctrlProp50.xml><?xml version="1.0" encoding="utf-8"?>
<formControlPr xmlns="http://schemas.microsoft.com/office/spreadsheetml/2009/9/main" objectType="CheckBox" fmlaLink="X14" lockText="1" noThreeD="1"/>
</file>

<file path=xl/ctrlProps/ctrlProp51.xml><?xml version="1.0" encoding="utf-8"?>
<formControlPr xmlns="http://schemas.microsoft.com/office/spreadsheetml/2009/9/main" objectType="CheckBox" fmlaLink="X15" lockText="1" noThreeD="1"/>
</file>

<file path=xl/ctrlProps/ctrlProp52.xml><?xml version="1.0" encoding="utf-8"?>
<formControlPr xmlns="http://schemas.microsoft.com/office/spreadsheetml/2009/9/main" objectType="CheckBox" fmlaLink="X16" lockText="1" noThreeD="1"/>
</file>

<file path=xl/ctrlProps/ctrlProp53.xml><?xml version="1.0" encoding="utf-8"?>
<formControlPr xmlns="http://schemas.microsoft.com/office/spreadsheetml/2009/9/main" objectType="CheckBox" fmlaLink="X17" lockText="1" noThreeD="1"/>
</file>

<file path=xl/ctrlProps/ctrlProp54.xml><?xml version="1.0" encoding="utf-8"?>
<formControlPr xmlns="http://schemas.microsoft.com/office/spreadsheetml/2009/9/main" objectType="CheckBox" fmlaLink="X18" lockText="1" noThreeD="1"/>
</file>

<file path=xl/ctrlProps/ctrlProp55.xml><?xml version="1.0" encoding="utf-8"?>
<formControlPr xmlns="http://schemas.microsoft.com/office/spreadsheetml/2009/9/main" objectType="CheckBox" fmlaLink="X19" lockText="1" noThreeD="1"/>
</file>

<file path=xl/ctrlProps/ctrlProp56.xml><?xml version="1.0" encoding="utf-8"?>
<formControlPr xmlns="http://schemas.microsoft.com/office/spreadsheetml/2009/9/main" objectType="CheckBox" fmlaLink="X20" lockText="1" noThreeD="1"/>
</file>

<file path=xl/ctrlProps/ctrlProp57.xml><?xml version="1.0" encoding="utf-8"?>
<formControlPr xmlns="http://schemas.microsoft.com/office/spreadsheetml/2009/9/main" objectType="CheckBox" fmlaLink="X21" lockText="1" noThreeD="1"/>
</file>

<file path=xl/ctrlProps/ctrlProp58.xml><?xml version="1.0" encoding="utf-8"?>
<formControlPr xmlns="http://schemas.microsoft.com/office/spreadsheetml/2009/9/main" objectType="CheckBox" fmlaLink="Y12" lockText="1" noThreeD="1"/>
</file>

<file path=xl/ctrlProps/ctrlProp59.xml><?xml version="1.0" encoding="utf-8"?>
<formControlPr xmlns="http://schemas.microsoft.com/office/spreadsheetml/2009/9/main" objectType="CheckBox" fmlaLink="Y13" lockText="1" noThreeD="1"/>
</file>

<file path=xl/ctrlProps/ctrlProp6.xml><?xml version="1.0" encoding="utf-8"?>
<formControlPr xmlns="http://schemas.microsoft.com/office/spreadsheetml/2009/9/main" objectType="Scroll" dx="39" fmlaLink="Q12" horiz="1" inc="100" max="5000" page="10" val="0"/>
</file>

<file path=xl/ctrlProps/ctrlProp60.xml><?xml version="1.0" encoding="utf-8"?>
<formControlPr xmlns="http://schemas.microsoft.com/office/spreadsheetml/2009/9/main" objectType="CheckBox" fmlaLink="Y15" lockText="1" noThreeD="1"/>
</file>

<file path=xl/ctrlProps/ctrlProp61.xml><?xml version="1.0" encoding="utf-8"?>
<formControlPr xmlns="http://schemas.microsoft.com/office/spreadsheetml/2009/9/main" objectType="CheckBox" fmlaLink="Y18" lockText="1" noThreeD="1"/>
</file>

<file path=xl/ctrlProps/ctrlProp62.xml><?xml version="1.0" encoding="utf-8"?>
<formControlPr xmlns="http://schemas.microsoft.com/office/spreadsheetml/2009/9/main" objectType="CheckBox" fmlaLink="Y19" lockText="1" noThreeD="1"/>
</file>

<file path=xl/ctrlProps/ctrlProp63.xml><?xml version="1.0" encoding="utf-8"?>
<formControlPr xmlns="http://schemas.microsoft.com/office/spreadsheetml/2009/9/main" objectType="CheckBox" fmlaLink="Y20" lockText="1" noThreeD="1"/>
</file>

<file path=xl/ctrlProps/ctrlProp64.xml><?xml version="1.0" encoding="utf-8"?>
<formControlPr xmlns="http://schemas.microsoft.com/office/spreadsheetml/2009/9/main" objectType="CheckBox" fmlaLink="Y21" lockText="1" noThreeD="1"/>
</file>

<file path=xl/ctrlProps/ctrlProp65.xml><?xml version="1.0" encoding="utf-8"?>
<formControlPr xmlns="http://schemas.microsoft.com/office/spreadsheetml/2009/9/main" objectType="Radio" checked="Checked" firstButton="1" fmlaLink="Z12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Radio" lockText="1"/>
</file>

<file path=xl/ctrlProps/ctrlProp68.xml><?xml version="1.0" encoding="utf-8"?>
<formControlPr xmlns="http://schemas.microsoft.com/office/spreadsheetml/2009/9/main" objectType="Radio" lockText="1"/>
</file>

<file path=xl/ctrlProps/ctrlProp69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Scroll" dx="39" fmlaLink="Q13" horiz="1" inc="100" max="5000" page="10" val="0"/>
</file>

<file path=xl/ctrlProps/ctrlProp70.xml><?xml version="1.0" encoding="utf-8"?>
<formControlPr xmlns="http://schemas.microsoft.com/office/spreadsheetml/2009/9/main" objectType="Radio" lockText="1"/>
</file>

<file path=xl/ctrlProps/ctrlProp71.xml><?xml version="1.0" encoding="utf-8"?>
<formControlPr xmlns="http://schemas.microsoft.com/office/spreadsheetml/2009/9/main" objectType="Radio" lockText="1"/>
</file>

<file path=xl/ctrlProps/ctrlProp72.xml><?xml version="1.0" encoding="utf-8"?>
<formControlPr xmlns="http://schemas.microsoft.com/office/spreadsheetml/2009/9/main" objectType="Radio" lockText="1"/>
</file>

<file path=xl/ctrlProps/ctrlProp73.xml><?xml version="1.0" encoding="utf-8"?>
<formControlPr xmlns="http://schemas.microsoft.com/office/spreadsheetml/2009/9/main" objectType="Radio" lockText="1"/>
</file>

<file path=xl/ctrlProps/ctrlProp74.xml><?xml version="1.0" encoding="utf-8"?>
<formControlPr xmlns="http://schemas.microsoft.com/office/spreadsheetml/2009/9/main" objectType="Radio" lockText="1"/>
</file>

<file path=xl/ctrlProps/ctrlProp75.xml><?xml version="1.0" encoding="utf-8"?>
<formControlPr xmlns="http://schemas.microsoft.com/office/spreadsheetml/2009/9/main" objectType="CheckBox" fmlaLink="Y14" lockText="1" noThreeD="1"/>
</file>

<file path=xl/ctrlProps/ctrlProp76.xml><?xml version="1.0" encoding="utf-8"?>
<formControlPr xmlns="http://schemas.microsoft.com/office/spreadsheetml/2009/9/main" objectType="CheckBox" fmlaLink="Y16" lockText="1" noThreeD="1"/>
</file>

<file path=xl/ctrlProps/ctrlProp77.xml><?xml version="1.0" encoding="utf-8"?>
<formControlPr xmlns="http://schemas.microsoft.com/office/spreadsheetml/2009/9/main" objectType="CheckBox" fmlaLink="Y17" lockText="1" noThreeD="1"/>
</file>

<file path=xl/ctrlProps/ctrlProp8.xml><?xml version="1.0" encoding="utf-8"?>
<formControlPr xmlns="http://schemas.microsoft.com/office/spreadsheetml/2009/9/main" objectType="Scroll" dx="39" fmlaLink="Q14" horiz="1" inc="100" max="5000" page="10" val="0"/>
</file>

<file path=xl/ctrlProps/ctrlProp9.xml><?xml version="1.0" encoding="utf-8"?>
<formControlPr xmlns="http://schemas.microsoft.com/office/spreadsheetml/2009/9/main" objectType="Scroll" dx="39" fmlaLink="Q15" horiz="1" inc="100" max="5000" page="10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</xdr:row>
          <xdr:rowOff>28575</xdr:rowOff>
        </xdr:from>
        <xdr:to>
          <xdr:col>12</xdr:col>
          <xdr:colOff>1019175</xdr:colOff>
          <xdr:row>7</xdr:row>
          <xdr:rowOff>333375</xdr:rowOff>
        </xdr:to>
        <xdr:sp macro="" textlink="">
          <xdr:nvSpPr>
            <xdr:cNvPr id="1094" name="Scroll Bar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9525</xdr:rowOff>
        </xdr:from>
        <xdr:to>
          <xdr:col>2</xdr:col>
          <xdr:colOff>0</xdr:colOff>
          <xdr:row>7</xdr:row>
          <xdr:rowOff>342900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9525</xdr:rowOff>
        </xdr:from>
        <xdr:to>
          <xdr:col>2</xdr:col>
          <xdr:colOff>0</xdr:colOff>
          <xdr:row>8</xdr:row>
          <xdr:rowOff>342900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9525</xdr:rowOff>
        </xdr:from>
        <xdr:to>
          <xdr:col>2</xdr:col>
          <xdr:colOff>0</xdr:colOff>
          <xdr:row>9</xdr:row>
          <xdr:rowOff>333375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9525</xdr:rowOff>
        </xdr:from>
        <xdr:to>
          <xdr:col>2</xdr:col>
          <xdr:colOff>0</xdr:colOff>
          <xdr:row>10</xdr:row>
          <xdr:rowOff>342900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9525</xdr:rowOff>
        </xdr:from>
        <xdr:to>
          <xdr:col>2</xdr:col>
          <xdr:colOff>0</xdr:colOff>
          <xdr:row>11</xdr:row>
          <xdr:rowOff>342900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9525</xdr:rowOff>
        </xdr:from>
        <xdr:to>
          <xdr:col>2</xdr:col>
          <xdr:colOff>0</xdr:colOff>
          <xdr:row>12</xdr:row>
          <xdr:rowOff>342900</xdr:rowOff>
        </xdr:to>
        <xdr:sp macro="" textlink="">
          <xdr:nvSpPr>
            <xdr:cNvPr id="1040" name="Scroll Ba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9525</xdr:rowOff>
        </xdr:from>
        <xdr:to>
          <xdr:col>2</xdr:col>
          <xdr:colOff>0</xdr:colOff>
          <xdr:row>13</xdr:row>
          <xdr:rowOff>342900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9525</xdr:rowOff>
        </xdr:from>
        <xdr:to>
          <xdr:col>2</xdr:col>
          <xdr:colOff>0</xdr:colOff>
          <xdr:row>14</xdr:row>
          <xdr:rowOff>342900</xdr:rowOff>
        </xdr:to>
        <xdr:sp macro="" textlink="">
          <xdr:nvSpPr>
            <xdr:cNvPr id="1042" name="Scroll Ba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2</xdr:col>
          <xdr:colOff>0</xdr:colOff>
          <xdr:row>15</xdr:row>
          <xdr:rowOff>342900</xdr:rowOff>
        </xdr:to>
        <xdr:sp macro="" textlink="">
          <xdr:nvSpPr>
            <xdr:cNvPr id="1043" name="Scroll Bar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2</xdr:col>
          <xdr:colOff>0</xdr:colOff>
          <xdr:row>16</xdr:row>
          <xdr:rowOff>342900</xdr:rowOff>
        </xdr:to>
        <xdr:sp macro="" textlink="">
          <xdr:nvSpPr>
            <xdr:cNvPr id="1044" name="Scroll Bar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57150</xdr:rowOff>
        </xdr:from>
        <xdr:to>
          <xdr:col>6</xdr:col>
          <xdr:colOff>771525</xdr:colOff>
          <xdr:row>7</xdr:row>
          <xdr:rowOff>295275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 Heat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</xdr:row>
          <xdr:rowOff>57150</xdr:rowOff>
        </xdr:from>
        <xdr:to>
          <xdr:col>6</xdr:col>
          <xdr:colOff>809625</xdr:colOff>
          <xdr:row>8</xdr:row>
          <xdr:rowOff>295275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 Heat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</xdr:row>
          <xdr:rowOff>47625</xdr:rowOff>
        </xdr:from>
        <xdr:to>
          <xdr:col>6</xdr:col>
          <xdr:colOff>809625</xdr:colOff>
          <xdr:row>9</xdr:row>
          <xdr:rowOff>276225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 Heat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</xdr:row>
          <xdr:rowOff>47625</xdr:rowOff>
        </xdr:from>
        <xdr:to>
          <xdr:col>6</xdr:col>
          <xdr:colOff>809625</xdr:colOff>
          <xdr:row>10</xdr:row>
          <xdr:rowOff>276225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 Heat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11</xdr:row>
          <xdr:rowOff>47625</xdr:rowOff>
        </xdr:from>
        <xdr:to>
          <xdr:col>6</xdr:col>
          <xdr:colOff>809625</xdr:colOff>
          <xdr:row>11</xdr:row>
          <xdr:rowOff>276225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 Heat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12</xdr:row>
          <xdr:rowOff>47625</xdr:rowOff>
        </xdr:from>
        <xdr:to>
          <xdr:col>6</xdr:col>
          <xdr:colOff>809625</xdr:colOff>
          <xdr:row>12</xdr:row>
          <xdr:rowOff>276225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 Heat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13</xdr:row>
          <xdr:rowOff>47625</xdr:rowOff>
        </xdr:from>
        <xdr:to>
          <xdr:col>6</xdr:col>
          <xdr:colOff>809625</xdr:colOff>
          <xdr:row>13</xdr:row>
          <xdr:rowOff>276225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 Heat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14</xdr:row>
          <xdr:rowOff>47625</xdr:rowOff>
        </xdr:from>
        <xdr:to>
          <xdr:col>6</xdr:col>
          <xdr:colOff>809625</xdr:colOff>
          <xdr:row>14</xdr:row>
          <xdr:rowOff>276225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 Heat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15</xdr:row>
          <xdr:rowOff>47625</xdr:rowOff>
        </xdr:from>
        <xdr:to>
          <xdr:col>6</xdr:col>
          <xdr:colOff>809625</xdr:colOff>
          <xdr:row>15</xdr:row>
          <xdr:rowOff>276225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 Heat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16</xdr:row>
          <xdr:rowOff>47625</xdr:rowOff>
        </xdr:from>
        <xdr:to>
          <xdr:col>6</xdr:col>
          <xdr:colOff>809625</xdr:colOff>
          <xdr:row>16</xdr:row>
          <xdr:rowOff>276225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 Heat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</xdr:row>
          <xdr:rowOff>28575</xdr:rowOff>
        </xdr:from>
        <xdr:to>
          <xdr:col>12</xdr:col>
          <xdr:colOff>1019175</xdr:colOff>
          <xdr:row>7</xdr:row>
          <xdr:rowOff>333375</xdr:rowOff>
        </xdr:to>
        <xdr:sp macro="" textlink="">
          <xdr:nvSpPr>
            <xdr:cNvPr id="1093" name="Scroll Bar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</xdr:row>
          <xdr:rowOff>28575</xdr:rowOff>
        </xdr:from>
        <xdr:to>
          <xdr:col>14</xdr:col>
          <xdr:colOff>1019175</xdr:colOff>
          <xdr:row>7</xdr:row>
          <xdr:rowOff>333375</xdr:rowOff>
        </xdr:to>
        <xdr:sp macro="" textlink="">
          <xdr:nvSpPr>
            <xdr:cNvPr id="1095" name="Scroll Bar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</xdr:row>
          <xdr:rowOff>28575</xdr:rowOff>
        </xdr:from>
        <xdr:to>
          <xdr:col>12</xdr:col>
          <xdr:colOff>1019175</xdr:colOff>
          <xdr:row>8</xdr:row>
          <xdr:rowOff>333375</xdr:rowOff>
        </xdr:to>
        <xdr:sp macro="" textlink="">
          <xdr:nvSpPr>
            <xdr:cNvPr id="1096" name="Scroll Bar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</xdr:row>
          <xdr:rowOff>28575</xdr:rowOff>
        </xdr:from>
        <xdr:to>
          <xdr:col>12</xdr:col>
          <xdr:colOff>1019175</xdr:colOff>
          <xdr:row>9</xdr:row>
          <xdr:rowOff>333375</xdr:rowOff>
        </xdr:to>
        <xdr:sp macro="" textlink="">
          <xdr:nvSpPr>
            <xdr:cNvPr id="1098" name="Scroll Bar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10</xdr:row>
          <xdr:rowOff>28575</xdr:rowOff>
        </xdr:from>
        <xdr:to>
          <xdr:col>12</xdr:col>
          <xdr:colOff>1019175</xdr:colOff>
          <xdr:row>10</xdr:row>
          <xdr:rowOff>333375</xdr:rowOff>
        </xdr:to>
        <xdr:sp macro="" textlink="">
          <xdr:nvSpPr>
            <xdr:cNvPr id="1099" name="Scroll Bar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28575</xdr:rowOff>
        </xdr:from>
        <xdr:to>
          <xdr:col>12</xdr:col>
          <xdr:colOff>1019175</xdr:colOff>
          <xdr:row>11</xdr:row>
          <xdr:rowOff>333375</xdr:rowOff>
        </xdr:to>
        <xdr:sp macro="" textlink="">
          <xdr:nvSpPr>
            <xdr:cNvPr id="1100" name="Scroll Bar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12</xdr:row>
          <xdr:rowOff>28575</xdr:rowOff>
        </xdr:from>
        <xdr:to>
          <xdr:col>12</xdr:col>
          <xdr:colOff>1019175</xdr:colOff>
          <xdr:row>12</xdr:row>
          <xdr:rowOff>333375</xdr:rowOff>
        </xdr:to>
        <xdr:sp macro="" textlink="">
          <xdr:nvSpPr>
            <xdr:cNvPr id="1101" name="Scroll Bar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13</xdr:row>
          <xdr:rowOff>28575</xdr:rowOff>
        </xdr:from>
        <xdr:to>
          <xdr:col>12</xdr:col>
          <xdr:colOff>1019175</xdr:colOff>
          <xdr:row>13</xdr:row>
          <xdr:rowOff>333375</xdr:rowOff>
        </xdr:to>
        <xdr:sp macro="" textlink="">
          <xdr:nvSpPr>
            <xdr:cNvPr id="1102" name="Scroll Bar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14</xdr:row>
          <xdr:rowOff>28575</xdr:rowOff>
        </xdr:from>
        <xdr:to>
          <xdr:col>12</xdr:col>
          <xdr:colOff>1019175</xdr:colOff>
          <xdr:row>14</xdr:row>
          <xdr:rowOff>333375</xdr:rowOff>
        </xdr:to>
        <xdr:sp macro="" textlink="">
          <xdr:nvSpPr>
            <xdr:cNvPr id="1103" name="Scroll Bar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15</xdr:row>
          <xdr:rowOff>28575</xdr:rowOff>
        </xdr:from>
        <xdr:to>
          <xdr:col>12</xdr:col>
          <xdr:colOff>1019175</xdr:colOff>
          <xdr:row>15</xdr:row>
          <xdr:rowOff>333375</xdr:rowOff>
        </xdr:to>
        <xdr:sp macro="" textlink="">
          <xdr:nvSpPr>
            <xdr:cNvPr id="1104" name="Scroll Bar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16</xdr:row>
          <xdr:rowOff>28575</xdr:rowOff>
        </xdr:from>
        <xdr:to>
          <xdr:col>12</xdr:col>
          <xdr:colOff>1019175</xdr:colOff>
          <xdr:row>16</xdr:row>
          <xdr:rowOff>333375</xdr:rowOff>
        </xdr:to>
        <xdr:sp macro="" textlink="">
          <xdr:nvSpPr>
            <xdr:cNvPr id="1105" name="Scroll Bar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</xdr:row>
          <xdr:rowOff>28575</xdr:rowOff>
        </xdr:from>
        <xdr:to>
          <xdr:col>14</xdr:col>
          <xdr:colOff>1019175</xdr:colOff>
          <xdr:row>8</xdr:row>
          <xdr:rowOff>333375</xdr:rowOff>
        </xdr:to>
        <xdr:sp macro="" textlink="">
          <xdr:nvSpPr>
            <xdr:cNvPr id="1106" name="Scroll Bar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9</xdr:row>
          <xdr:rowOff>28575</xdr:rowOff>
        </xdr:from>
        <xdr:to>
          <xdr:col>14</xdr:col>
          <xdr:colOff>1019175</xdr:colOff>
          <xdr:row>9</xdr:row>
          <xdr:rowOff>333375</xdr:rowOff>
        </xdr:to>
        <xdr:sp macro="" textlink="">
          <xdr:nvSpPr>
            <xdr:cNvPr id="1107" name="Scroll Bar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10</xdr:row>
          <xdr:rowOff>28575</xdr:rowOff>
        </xdr:from>
        <xdr:to>
          <xdr:col>14</xdr:col>
          <xdr:colOff>1019175</xdr:colOff>
          <xdr:row>10</xdr:row>
          <xdr:rowOff>333375</xdr:rowOff>
        </xdr:to>
        <xdr:sp macro="" textlink="">
          <xdr:nvSpPr>
            <xdr:cNvPr id="1108" name="Scroll Bar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11</xdr:row>
          <xdr:rowOff>28575</xdr:rowOff>
        </xdr:from>
        <xdr:to>
          <xdr:col>14</xdr:col>
          <xdr:colOff>1019175</xdr:colOff>
          <xdr:row>11</xdr:row>
          <xdr:rowOff>333375</xdr:rowOff>
        </xdr:to>
        <xdr:sp macro="" textlink="">
          <xdr:nvSpPr>
            <xdr:cNvPr id="1109" name="Scroll Bar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12</xdr:row>
          <xdr:rowOff>28575</xdr:rowOff>
        </xdr:from>
        <xdr:to>
          <xdr:col>14</xdr:col>
          <xdr:colOff>1019175</xdr:colOff>
          <xdr:row>12</xdr:row>
          <xdr:rowOff>333375</xdr:rowOff>
        </xdr:to>
        <xdr:sp macro="" textlink="">
          <xdr:nvSpPr>
            <xdr:cNvPr id="1110" name="Scroll Bar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13</xdr:row>
          <xdr:rowOff>28575</xdr:rowOff>
        </xdr:from>
        <xdr:to>
          <xdr:col>14</xdr:col>
          <xdr:colOff>1019175</xdr:colOff>
          <xdr:row>13</xdr:row>
          <xdr:rowOff>333375</xdr:rowOff>
        </xdr:to>
        <xdr:sp macro="" textlink="">
          <xdr:nvSpPr>
            <xdr:cNvPr id="1111" name="Scroll Bar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14</xdr:row>
          <xdr:rowOff>28575</xdr:rowOff>
        </xdr:from>
        <xdr:to>
          <xdr:col>14</xdr:col>
          <xdr:colOff>1019175</xdr:colOff>
          <xdr:row>14</xdr:row>
          <xdr:rowOff>333375</xdr:rowOff>
        </xdr:to>
        <xdr:sp macro="" textlink="">
          <xdr:nvSpPr>
            <xdr:cNvPr id="1112" name="Scroll Bar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15</xdr:row>
          <xdr:rowOff>28575</xdr:rowOff>
        </xdr:from>
        <xdr:to>
          <xdr:col>14</xdr:col>
          <xdr:colOff>1019175</xdr:colOff>
          <xdr:row>15</xdr:row>
          <xdr:rowOff>333375</xdr:rowOff>
        </xdr:to>
        <xdr:sp macro="" textlink="">
          <xdr:nvSpPr>
            <xdr:cNvPr id="1113" name="Scroll Bar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16</xdr:row>
          <xdr:rowOff>28575</xdr:rowOff>
        </xdr:from>
        <xdr:to>
          <xdr:col>14</xdr:col>
          <xdr:colOff>1019175</xdr:colOff>
          <xdr:row>16</xdr:row>
          <xdr:rowOff>333375</xdr:rowOff>
        </xdr:to>
        <xdr:sp macro="" textlink="">
          <xdr:nvSpPr>
            <xdr:cNvPr id="1114" name="Scroll Bar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3</xdr:col>
      <xdr:colOff>352425</xdr:colOff>
      <xdr:row>0</xdr:row>
      <xdr:rowOff>23813</xdr:rowOff>
    </xdr:from>
    <xdr:to>
      <xdr:col>14</xdr:col>
      <xdr:colOff>319088</xdr:colOff>
      <xdr:row>1</xdr:row>
      <xdr:rowOff>147638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19288" y="23813"/>
          <a:ext cx="5881688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LOAD SIZING WORKSHEET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9525</xdr:rowOff>
        </xdr:from>
        <xdr:to>
          <xdr:col>4</xdr:col>
          <xdr:colOff>628650</xdr:colOff>
          <xdr:row>5</xdr:row>
          <xdr:rowOff>219075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190500</xdr:rowOff>
        </xdr:from>
        <xdr:to>
          <xdr:col>3</xdr:col>
          <xdr:colOff>219075</xdr:colOff>
          <xdr:row>15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581025</xdr:colOff>
      <xdr:row>0</xdr:row>
      <xdr:rowOff>85725</xdr:rowOff>
    </xdr:from>
    <xdr:to>
      <xdr:col>10</xdr:col>
      <xdr:colOff>595313</xdr:colOff>
      <xdr:row>2</xdr:row>
      <xdr:rowOff>19050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81025" y="85725"/>
          <a:ext cx="6262688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TRANSFORMER SIZING WORKSHEET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40</xdr:row>
          <xdr:rowOff>28575</xdr:rowOff>
        </xdr:from>
        <xdr:to>
          <xdr:col>5</xdr:col>
          <xdr:colOff>581025</xdr:colOff>
          <xdr:row>42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38100</xdr:rowOff>
        </xdr:from>
        <xdr:to>
          <xdr:col>5</xdr:col>
          <xdr:colOff>561975</xdr:colOff>
          <xdr:row>52</xdr:row>
          <xdr:rowOff>180975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35</xdr:row>
          <xdr:rowOff>9525</xdr:rowOff>
        </xdr:from>
        <xdr:to>
          <xdr:col>5</xdr:col>
          <xdr:colOff>666750</xdr:colOff>
          <xdr:row>35</xdr:row>
          <xdr:rowOff>180975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36</xdr:row>
          <xdr:rowOff>19050</xdr:rowOff>
        </xdr:from>
        <xdr:to>
          <xdr:col>4</xdr:col>
          <xdr:colOff>666750</xdr:colOff>
          <xdr:row>36</xdr:row>
          <xdr:rowOff>180975</xdr:rowOff>
        </xdr:to>
        <xdr:sp macro="" textlink="">
          <xdr:nvSpPr>
            <xdr:cNvPr id="3076" name="Scroll Bar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>
    <xdr:from>
      <xdr:col>0</xdr:col>
      <xdr:colOff>128588</xdr:colOff>
      <xdr:row>4</xdr:row>
      <xdr:rowOff>142875</xdr:rowOff>
    </xdr:from>
    <xdr:to>
      <xdr:col>15</xdr:col>
      <xdr:colOff>98108</xdr:colOff>
      <xdr:row>6</xdr:row>
      <xdr:rowOff>66675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28588" y="1076325"/>
          <a:ext cx="10213658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VOLTAGE DROP and VOLTAGE FLICKER WORKSHEET</a:t>
          </a:r>
        </a:p>
      </xdr:txBody>
    </xdr:sp>
    <xdr:clientData/>
  </xdr:twoCellAnchor>
  <xdr:twoCellAnchor>
    <xdr:from>
      <xdr:col>6</xdr:col>
      <xdr:colOff>0</xdr:colOff>
      <xdr:row>168</xdr:row>
      <xdr:rowOff>95250</xdr:rowOff>
    </xdr:from>
    <xdr:to>
      <xdr:col>6</xdr:col>
      <xdr:colOff>361950</xdr:colOff>
      <xdr:row>176</xdr:row>
      <xdr:rowOff>142875</xdr:rowOff>
    </xdr:to>
    <xdr:sp macro="" textlink="">
      <xdr:nvSpPr>
        <xdr:cNvPr id="11" name="Freeform 3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/>
        </xdr:cNvSpPr>
      </xdr:nvSpPr>
      <xdr:spPr bwMode="auto">
        <a:xfrm>
          <a:off x="3595688" y="9110663"/>
          <a:ext cx="361950" cy="0"/>
        </a:xfrm>
        <a:custGeom>
          <a:avLst/>
          <a:gdLst>
            <a:gd name="T0" fmla="*/ 222659575 w 24"/>
            <a:gd name="T1" fmla="*/ 0 h 208"/>
            <a:gd name="T2" fmla="*/ 2147483646 w 24"/>
            <a:gd name="T3" fmla="*/ 0 h 208"/>
            <a:gd name="T4" fmla="*/ 0 w 24"/>
            <a:gd name="T5" fmla="*/ 0 h 208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4" h="208">
              <a:moveTo>
                <a:pt x="1" y="0"/>
              </a:moveTo>
              <a:cubicBezTo>
                <a:pt x="12" y="35"/>
                <a:pt x="24" y="71"/>
                <a:pt x="24" y="106"/>
              </a:cubicBezTo>
              <a:cubicBezTo>
                <a:pt x="24" y="141"/>
                <a:pt x="12" y="174"/>
                <a:pt x="0" y="208"/>
              </a:cubicBezTo>
            </a:path>
          </a:pathLst>
        </a:custGeom>
        <a:noFill/>
        <a:ln w="285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46</xdr:row>
          <xdr:rowOff>9525</xdr:rowOff>
        </xdr:from>
        <xdr:to>
          <xdr:col>5</xdr:col>
          <xdr:colOff>666750</xdr:colOff>
          <xdr:row>46</xdr:row>
          <xdr:rowOff>180975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47</xdr:row>
          <xdr:rowOff>28575</xdr:rowOff>
        </xdr:from>
        <xdr:to>
          <xdr:col>5</xdr:col>
          <xdr:colOff>0</xdr:colOff>
          <xdr:row>47</xdr:row>
          <xdr:rowOff>180975</xdr:rowOff>
        </xdr:to>
        <xdr:sp macro="" textlink="">
          <xdr:nvSpPr>
            <xdr:cNvPr id="3080" name="Scroll Bar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>
    <xdr:from>
      <xdr:col>6</xdr:col>
      <xdr:colOff>361950</xdr:colOff>
      <xdr:row>172</xdr:row>
      <xdr:rowOff>104775</xdr:rowOff>
    </xdr:from>
    <xdr:to>
      <xdr:col>6</xdr:col>
      <xdr:colOff>361950</xdr:colOff>
      <xdr:row>172</xdr:row>
      <xdr:rowOff>180975</xdr:rowOff>
    </xdr:to>
    <xdr:sp macro="" textlink="">
      <xdr:nvSpPr>
        <xdr:cNvPr id="17" name="Line 5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>
          <a:off x="3957638" y="9110663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704850</xdr:colOff>
      <xdr:row>158</xdr:row>
      <xdr:rowOff>76200</xdr:rowOff>
    </xdr:from>
    <xdr:to>
      <xdr:col>7</xdr:col>
      <xdr:colOff>142875</xdr:colOff>
      <xdr:row>177</xdr:row>
      <xdr:rowOff>123825</xdr:rowOff>
    </xdr:to>
    <xdr:sp macro="" textlink="">
      <xdr:nvSpPr>
        <xdr:cNvPr id="18" name="Freeform 5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3581400" y="9110663"/>
          <a:ext cx="876300" cy="0"/>
        </a:xfrm>
        <a:custGeom>
          <a:avLst/>
          <a:gdLst>
            <a:gd name="T0" fmla="*/ 0 w 70"/>
            <a:gd name="T1" fmla="*/ 0 h 388"/>
            <a:gd name="T2" fmla="*/ 2147483646 w 70"/>
            <a:gd name="T3" fmla="*/ 0 h 388"/>
            <a:gd name="T4" fmla="*/ 152626423 w 70"/>
            <a:gd name="T5" fmla="*/ 0 h 388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70" h="388">
              <a:moveTo>
                <a:pt x="0" y="0"/>
              </a:moveTo>
              <a:cubicBezTo>
                <a:pt x="35" y="67"/>
                <a:pt x="70" y="134"/>
                <a:pt x="70" y="199"/>
              </a:cubicBezTo>
              <a:cubicBezTo>
                <a:pt x="70" y="264"/>
                <a:pt x="13" y="356"/>
                <a:pt x="1" y="388"/>
              </a:cubicBezTo>
            </a:path>
          </a:pathLst>
        </a:custGeom>
        <a:noFill/>
        <a:ln w="2857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142875</xdr:colOff>
      <xdr:row>167</xdr:row>
      <xdr:rowOff>114300</xdr:rowOff>
    </xdr:from>
    <xdr:to>
      <xdr:col>7</xdr:col>
      <xdr:colOff>142875</xdr:colOff>
      <xdr:row>168</xdr:row>
      <xdr:rowOff>19050</xdr:rowOff>
    </xdr:to>
    <xdr:sp macro="" textlink="">
      <xdr:nvSpPr>
        <xdr:cNvPr id="19" name="Line 6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>
          <a:off x="4457700" y="9110663"/>
          <a:ext cx="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162</xdr:row>
      <xdr:rowOff>104775</xdr:rowOff>
    </xdr:from>
    <xdr:to>
      <xdr:col>8</xdr:col>
      <xdr:colOff>0</xdr:colOff>
      <xdr:row>179</xdr:row>
      <xdr:rowOff>57150</xdr:rowOff>
    </xdr:to>
    <xdr:sp macro="" textlink="">
      <xdr:nvSpPr>
        <xdr:cNvPr id="20" name="Freeform 6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/>
        </xdr:cNvSpPr>
      </xdr:nvSpPr>
      <xdr:spPr bwMode="auto">
        <a:xfrm>
          <a:off x="3595688" y="9110663"/>
          <a:ext cx="1438275" cy="0"/>
        </a:xfrm>
        <a:custGeom>
          <a:avLst/>
          <a:gdLst>
            <a:gd name="T0" fmla="*/ 0 w 130"/>
            <a:gd name="T1" fmla="*/ 0 h 354"/>
            <a:gd name="T2" fmla="*/ 2147483646 w 130"/>
            <a:gd name="T3" fmla="*/ 0 h 354"/>
            <a:gd name="T4" fmla="*/ 2147483646 w 130"/>
            <a:gd name="T5" fmla="*/ 0 h 354"/>
            <a:gd name="T6" fmla="*/ 2147483646 w 130"/>
            <a:gd name="T7" fmla="*/ 0 h 3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30" h="354">
              <a:moveTo>
                <a:pt x="0" y="333"/>
              </a:moveTo>
              <a:cubicBezTo>
                <a:pt x="23" y="343"/>
                <a:pt x="47" y="354"/>
                <a:pt x="64" y="307"/>
              </a:cubicBezTo>
              <a:cubicBezTo>
                <a:pt x="81" y="260"/>
                <a:pt x="93" y="98"/>
                <a:pt x="104" y="49"/>
              </a:cubicBezTo>
              <a:cubicBezTo>
                <a:pt x="115" y="0"/>
                <a:pt x="122" y="6"/>
                <a:pt x="130" y="13"/>
              </a:cubicBezTo>
            </a:path>
          </a:pathLst>
        </a:custGeom>
        <a:noFill/>
        <a:ln w="2857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242888</xdr:colOff>
      <xdr:row>170</xdr:row>
      <xdr:rowOff>38100</xdr:rowOff>
    </xdr:from>
    <xdr:to>
      <xdr:col>7</xdr:col>
      <xdr:colOff>266700</xdr:colOff>
      <xdr:row>170</xdr:row>
      <xdr:rowOff>161925</xdr:rowOff>
    </xdr:to>
    <xdr:sp macro="" textlink="">
      <xdr:nvSpPr>
        <xdr:cNvPr id="21" name="Line 6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ShapeType="1"/>
        </xdr:cNvSpPr>
      </xdr:nvSpPr>
      <xdr:spPr bwMode="auto">
        <a:xfrm flipV="1">
          <a:off x="4557713" y="9110663"/>
          <a:ext cx="23812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11113</xdr:colOff>
      <xdr:row>10</xdr:row>
      <xdr:rowOff>136073</xdr:rowOff>
    </xdr:from>
    <xdr:to>
      <xdr:col>7</xdr:col>
      <xdr:colOff>283714</xdr:colOff>
      <xdr:row>18</xdr:row>
      <xdr:rowOff>156484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 noChangeAspect="1"/>
        </xdr:cNvGrpSpPr>
      </xdr:nvGrpSpPr>
      <xdr:grpSpPr>
        <a:xfrm>
          <a:off x="854756" y="2204359"/>
          <a:ext cx="3674387" cy="1544411"/>
          <a:chOff x="6653227" y="2029732"/>
          <a:chExt cx="3863974" cy="1544411"/>
        </a:xfrm>
      </xdr:grpSpPr>
      <xdr:pic>
        <xdr:nvPicPr>
          <xdr:cNvPr id="12" name="Picture 4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53227" y="2029732"/>
            <a:ext cx="3863974" cy="116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Line 79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050343" y="2730499"/>
            <a:ext cx="201356" cy="27758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8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150397" y="3187700"/>
            <a:ext cx="201315" cy="378278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82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855235" y="3164568"/>
            <a:ext cx="0" cy="40957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83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6050" y="2787649"/>
            <a:ext cx="501399" cy="23404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11</xdr:row>
          <xdr:rowOff>9525</xdr:rowOff>
        </xdr:from>
        <xdr:to>
          <xdr:col>13</xdr:col>
          <xdr:colOff>66675</xdr:colOff>
          <xdr:row>12</xdr:row>
          <xdr:rowOff>57150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11</xdr:row>
          <xdr:rowOff>180975</xdr:rowOff>
        </xdr:from>
        <xdr:to>
          <xdr:col>13</xdr:col>
          <xdr:colOff>9525</xdr:colOff>
          <xdr:row>13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13</xdr:row>
          <xdr:rowOff>9525</xdr:rowOff>
        </xdr:from>
        <xdr:to>
          <xdr:col>13</xdr:col>
          <xdr:colOff>66675</xdr:colOff>
          <xdr:row>14</xdr:row>
          <xdr:rowOff>57150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14</xdr:row>
          <xdr:rowOff>9525</xdr:rowOff>
        </xdr:from>
        <xdr:to>
          <xdr:col>13</xdr:col>
          <xdr:colOff>66675</xdr:colOff>
          <xdr:row>15</xdr:row>
          <xdr:rowOff>57150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15</xdr:row>
          <xdr:rowOff>9525</xdr:rowOff>
        </xdr:from>
        <xdr:to>
          <xdr:col>13</xdr:col>
          <xdr:colOff>66675</xdr:colOff>
          <xdr:row>16</xdr:row>
          <xdr:rowOff>57150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16</xdr:row>
          <xdr:rowOff>9525</xdr:rowOff>
        </xdr:from>
        <xdr:to>
          <xdr:col>13</xdr:col>
          <xdr:colOff>66675</xdr:colOff>
          <xdr:row>17</xdr:row>
          <xdr:rowOff>57150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17</xdr:row>
          <xdr:rowOff>9525</xdr:rowOff>
        </xdr:from>
        <xdr:to>
          <xdr:col>13</xdr:col>
          <xdr:colOff>66675</xdr:colOff>
          <xdr:row>18</xdr:row>
          <xdr:rowOff>57150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18</xdr:row>
          <xdr:rowOff>9525</xdr:rowOff>
        </xdr:from>
        <xdr:to>
          <xdr:col>13</xdr:col>
          <xdr:colOff>66675</xdr:colOff>
          <xdr:row>19</xdr:row>
          <xdr:rowOff>57150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19</xdr:row>
          <xdr:rowOff>9525</xdr:rowOff>
        </xdr:from>
        <xdr:to>
          <xdr:col>13</xdr:col>
          <xdr:colOff>66675</xdr:colOff>
          <xdr:row>20</xdr:row>
          <xdr:rowOff>57150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20</xdr:row>
          <xdr:rowOff>9525</xdr:rowOff>
        </xdr:from>
        <xdr:to>
          <xdr:col>13</xdr:col>
          <xdr:colOff>66675</xdr:colOff>
          <xdr:row>21</xdr:row>
          <xdr:rowOff>57150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11</xdr:row>
          <xdr:rowOff>9525</xdr:rowOff>
        </xdr:from>
        <xdr:to>
          <xdr:col>14</xdr:col>
          <xdr:colOff>66675</xdr:colOff>
          <xdr:row>12</xdr:row>
          <xdr:rowOff>57150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11</xdr:row>
          <xdr:rowOff>180975</xdr:rowOff>
        </xdr:from>
        <xdr:to>
          <xdr:col>14</xdr:col>
          <xdr:colOff>9525</xdr:colOff>
          <xdr:row>13</xdr:row>
          <xdr:rowOff>28575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14</xdr:row>
          <xdr:rowOff>9525</xdr:rowOff>
        </xdr:from>
        <xdr:to>
          <xdr:col>14</xdr:col>
          <xdr:colOff>66675</xdr:colOff>
          <xdr:row>15</xdr:row>
          <xdr:rowOff>57150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17</xdr:row>
          <xdr:rowOff>9525</xdr:rowOff>
        </xdr:from>
        <xdr:to>
          <xdr:col>14</xdr:col>
          <xdr:colOff>66675</xdr:colOff>
          <xdr:row>18</xdr:row>
          <xdr:rowOff>57150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18</xdr:row>
          <xdr:rowOff>9525</xdr:rowOff>
        </xdr:from>
        <xdr:to>
          <xdr:col>14</xdr:col>
          <xdr:colOff>66675</xdr:colOff>
          <xdr:row>19</xdr:row>
          <xdr:rowOff>57150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19</xdr:row>
          <xdr:rowOff>9525</xdr:rowOff>
        </xdr:from>
        <xdr:to>
          <xdr:col>14</xdr:col>
          <xdr:colOff>66675</xdr:colOff>
          <xdr:row>20</xdr:row>
          <xdr:rowOff>57150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20</xdr:row>
          <xdr:rowOff>9525</xdr:rowOff>
        </xdr:from>
        <xdr:to>
          <xdr:col>14</xdr:col>
          <xdr:colOff>66675</xdr:colOff>
          <xdr:row>21</xdr:row>
          <xdr:rowOff>57150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10</xdr:row>
          <xdr:rowOff>161925</xdr:rowOff>
        </xdr:from>
        <xdr:to>
          <xdr:col>15</xdr:col>
          <xdr:colOff>152400</xdr:colOff>
          <xdr:row>12</xdr:row>
          <xdr:rowOff>9525</xdr:rowOff>
        </xdr:to>
        <xdr:sp macro="" textlink="">
          <xdr:nvSpPr>
            <xdr:cNvPr id="3107" name="Option Button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11</xdr:row>
          <xdr:rowOff>161925</xdr:rowOff>
        </xdr:from>
        <xdr:to>
          <xdr:col>15</xdr:col>
          <xdr:colOff>152400</xdr:colOff>
          <xdr:row>13</xdr:row>
          <xdr:rowOff>9525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12</xdr:row>
          <xdr:rowOff>161925</xdr:rowOff>
        </xdr:from>
        <xdr:to>
          <xdr:col>15</xdr:col>
          <xdr:colOff>152400</xdr:colOff>
          <xdr:row>14</xdr:row>
          <xdr:rowOff>9525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13</xdr:row>
          <xdr:rowOff>161925</xdr:rowOff>
        </xdr:from>
        <xdr:to>
          <xdr:col>15</xdr:col>
          <xdr:colOff>152400</xdr:colOff>
          <xdr:row>15</xdr:row>
          <xdr:rowOff>9525</xdr:rowOff>
        </xdr:to>
        <xdr:sp macro="" textlink="">
          <xdr:nvSpPr>
            <xdr:cNvPr id="3120" name="Option Button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14</xdr:row>
          <xdr:rowOff>161925</xdr:rowOff>
        </xdr:from>
        <xdr:to>
          <xdr:col>15</xdr:col>
          <xdr:colOff>152400</xdr:colOff>
          <xdr:row>16</xdr:row>
          <xdr:rowOff>9525</xdr:rowOff>
        </xdr:to>
        <xdr:sp macro="" textlink="">
          <xdr:nvSpPr>
            <xdr:cNvPr id="3121" name="Option Button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15</xdr:row>
          <xdr:rowOff>161925</xdr:rowOff>
        </xdr:from>
        <xdr:to>
          <xdr:col>15</xdr:col>
          <xdr:colOff>152400</xdr:colOff>
          <xdr:row>17</xdr:row>
          <xdr:rowOff>9525</xdr:rowOff>
        </xdr:to>
        <xdr:sp macro="" textlink="">
          <xdr:nvSpPr>
            <xdr:cNvPr id="3122" name="Option Button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16</xdr:row>
          <xdr:rowOff>161925</xdr:rowOff>
        </xdr:from>
        <xdr:to>
          <xdr:col>15</xdr:col>
          <xdr:colOff>152400</xdr:colOff>
          <xdr:row>18</xdr:row>
          <xdr:rowOff>9525</xdr:rowOff>
        </xdr:to>
        <xdr:sp macro="" textlink="">
          <xdr:nvSpPr>
            <xdr:cNvPr id="3123" name="Option Button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17</xdr:row>
          <xdr:rowOff>161925</xdr:rowOff>
        </xdr:from>
        <xdr:to>
          <xdr:col>15</xdr:col>
          <xdr:colOff>152400</xdr:colOff>
          <xdr:row>19</xdr:row>
          <xdr:rowOff>9525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18</xdr:row>
          <xdr:rowOff>161925</xdr:rowOff>
        </xdr:from>
        <xdr:to>
          <xdr:col>15</xdr:col>
          <xdr:colOff>152400</xdr:colOff>
          <xdr:row>20</xdr:row>
          <xdr:rowOff>9525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19</xdr:row>
          <xdr:rowOff>161925</xdr:rowOff>
        </xdr:from>
        <xdr:to>
          <xdr:col>15</xdr:col>
          <xdr:colOff>152400</xdr:colOff>
          <xdr:row>21</xdr:row>
          <xdr:rowOff>9525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13</xdr:row>
          <xdr:rowOff>9525</xdr:rowOff>
        </xdr:from>
        <xdr:to>
          <xdr:col>14</xdr:col>
          <xdr:colOff>66675</xdr:colOff>
          <xdr:row>14</xdr:row>
          <xdr:rowOff>57150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15</xdr:row>
          <xdr:rowOff>9525</xdr:rowOff>
        </xdr:from>
        <xdr:to>
          <xdr:col>14</xdr:col>
          <xdr:colOff>66675</xdr:colOff>
          <xdr:row>16</xdr:row>
          <xdr:rowOff>57150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16</xdr:row>
          <xdr:rowOff>9525</xdr:rowOff>
        </xdr:from>
        <xdr:to>
          <xdr:col>14</xdr:col>
          <xdr:colOff>66675</xdr:colOff>
          <xdr:row>17</xdr:row>
          <xdr:rowOff>57150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552450</xdr:colOff>
          <xdr:row>39</xdr:row>
          <xdr:rowOff>133350</xdr:rowOff>
        </xdr:from>
        <xdr:to>
          <xdr:col>13</xdr:col>
          <xdr:colOff>95250</xdr:colOff>
          <xdr:row>41</xdr:row>
          <xdr:rowOff>95250</xdr:rowOff>
        </xdr:to>
        <xdr:sp macro="" textlink="">
          <xdr:nvSpPr>
            <xdr:cNvPr id="3138" name="Object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571500</xdr:colOff>
          <xdr:row>50</xdr:row>
          <xdr:rowOff>133350</xdr:rowOff>
        </xdr:from>
        <xdr:to>
          <xdr:col>13</xdr:col>
          <xdr:colOff>95250</xdr:colOff>
          <xdr:row>52</xdr:row>
          <xdr:rowOff>95250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32</xdr:row>
          <xdr:rowOff>47625</xdr:rowOff>
        </xdr:from>
        <xdr:to>
          <xdr:col>9</xdr:col>
          <xdr:colOff>657225</xdr:colOff>
          <xdr:row>33</xdr:row>
          <xdr:rowOff>123825</xdr:rowOff>
        </xdr:to>
        <xdr:sp macro="" textlink="">
          <xdr:nvSpPr>
            <xdr:cNvPr id="3144" name="CheckBox1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280035</xdr:colOff>
      <xdr:row>5</xdr:row>
      <xdr:rowOff>17780</xdr:rowOff>
    </xdr:from>
    <xdr:to>
      <xdr:col>11</xdr:col>
      <xdr:colOff>490536</xdr:colOff>
      <xdr:row>7</xdr:row>
      <xdr:rowOff>63500</xdr:rowOff>
    </xdr:to>
    <xdr:sp macro="" textlink="">
      <xdr:nvSpPr>
        <xdr:cNvPr id="3" name="Text Box 2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97586" y="1300480"/>
          <a:ext cx="7493950" cy="553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TRANSFORMER SIZING WORKSHEET</a:t>
          </a:r>
        </a:p>
      </xdr:txBody>
    </xdr:sp>
    <xdr:clientData/>
  </xdr:twoCellAnchor>
  <xdr:twoCellAnchor editAs="oneCell">
    <xdr:from>
      <xdr:col>0</xdr:col>
      <xdr:colOff>342900</xdr:colOff>
      <xdr:row>1</xdr:row>
      <xdr:rowOff>33338</xdr:rowOff>
    </xdr:from>
    <xdr:to>
      <xdr:col>2</xdr:col>
      <xdr:colOff>142875</xdr:colOff>
      <xdr:row>3</xdr:row>
      <xdr:rowOff>161925</xdr:rowOff>
    </xdr:to>
    <xdr:pic>
      <xdr:nvPicPr>
        <xdr:cNvPr id="7" name="Picture 58" descr="newhiline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0988"/>
          <a:ext cx="1238250" cy="652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3.xml"/><Relationship Id="rId4" Type="http://schemas.openxmlformats.org/officeDocument/2006/relationships/ctrlProp" Target="../ctrlProps/ctrlProp4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9" Type="http://schemas.openxmlformats.org/officeDocument/2006/relationships/ctrlProp" Target="../ctrlProps/ctrlProp6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1.xml"/><Relationship Id="rId34" Type="http://schemas.openxmlformats.org/officeDocument/2006/relationships/ctrlProp" Target="../ctrlProps/ctrlProp64.xml"/><Relationship Id="rId42" Type="http://schemas.openxmlformats.org/officeDocument/2006/relationships/ctrlProp" Target="../ctrlProps/ctrlProp72.xml"/><Relationship Id="rId47" Type="http://schemas.openxmlformats.org/officeDocument/2006/relationships/ctrlProp" Target="../ctrlProps/ctrlProp77.xml"/><Relationship Id="rId7" Type="http://schemas.openxmlformats.org/officeDocument/2006/relationships/image" Target="../media/image2.emf"/><Relationship Id="rId12" Type="http://schemas.openxmlformats.org/officeDocument/2006/relationships/control" Target="../activeX/activeX1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38" Type="http://schemas.openxmlformats.org/officeDocument/2006/relationships/ctrlProp" Target="../ctrlProps/ctrlProp68.xml"/><Relationship Id="rId46" Type="http://schemas.openxmlformats.org/officeDocument/2006/relationships/ctrlProp" Target="../ctrlProps/ctrlProp7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41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37" Type="http://schemas.openxmlformats.org/officeDocument/2006/relationships/ctrlProp" Target="../ctrlProps/ctrlProp67.xml"/><Relationship Id="rId40" Type="http://schemas.openxmlformats.org/officeDocument/2006/relationships/ctrlProp" Target="../ctrlProps/ctrlProp70.xml"/><Relationship Id="rId45" Type="http://schemas.openxmlformats.org/officeDocument/2006/relationships/ctrlProp" Target="../ctrlProps/ctrlProp75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36" Type="http://schemas.openxmlformats.org/officeDocument/2006/relationships/ctrlProp" Target="../ctrlProps/ctrlProp66.xml"/><Relationship Id="rId10" Type="http://schemas.openxmlformats.org/officeDocument/2006/relationships/oleObject" Target="../embeddings/oleObject4.bin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4" Type="http://schemas.openxmlformats.org/officeDocument/2006/relationships/ctrlProp" Target="../ctrlProps/ctrlProp74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35" Type="http://schemas.openxmlformats.org/officeDocument/2006/relationships/ctrlProp" Target="../ctrlProps/ctrlProp65.xml"/><Relationship Id="rId43" Type="http://schemas.openxmlformats.org/officeDocument/2006/relationships/ctrlProp" Target="../ctrlProps/ctrlProp7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X80"/>
  <sheetViews>
    <sheetView showGridLines="0" tabSelected="1" zoomScaleNormal="100" zoomScaleSheetLayoutView="100" workbookViewId="0">
      <selection activeCell="AB4" sqref="AB4"/>
    </sheetView>
  </sheetViews>
  <sheetFormatPr defaultColWidth="9.140625" defaultRowHeight="15" x14ac:dyDescent="0.25"/>
  <cols>
    <col min="1" max="1" width="5.5703125" style="73" customWidth="1"/>
    <col min="2" max="2" width="11.140625" style="73" customWidth="1"/>
    <col min="3" max="3" width="9" style="73" customWidth="1"/>
    <col min="4" max="4" width="5.5703125" style="73" customWidth="1"/>
    <col min="5" max="5" width="7.7109375" style="73" customWidth="1"/>
    <col min="6" max="6" width="6.42578125" style="73" customWidth="1"/>
    <col min="7" max="7" width="13.42578125" style="73" customWidth="1"/>
    <col min="8" max="8" width="5.5703125" style="73" customWidth="1"/>
    <col min="9" max="9" width="7.28515625" style="73" customWidth="1"/>
    <col min="10" max="10" width="6.85546875" style="73" customWidth="1"/>
    <col min="11" max="12" width="9.140625" style="73"/>
    <col min="13" max="13" width="16.42578125" style="73" customWidth="1"/>
    <col min="14" max="14" width="6.85546875" style="146" customWidth="1"/>
    <col min="15" max="15" width="16.42578125" style="73" customWidth="1"/>
    <col min="16" max="16" width="6.28515625" style="73" customWidth="1"/>
    <col min="17" max="22" width="8.7109375" style="73" hidden="1" customWidth="1"/>
    <col min="23" max="25" width="0" style="73" hidden="1" customWidth="1"/>
    <col min="26" max="16384" width="9.140625" style="73"/>
  </cols>
  <sheetData>
    <row r="3" spans="1:24" ht="15.75" thickBot="1" x14ac:dyDescent="0.3"/>
    <row r="4" spans="1:24" ht="16.5" thickTop="1" thickBot="1" x14ac:dyDescent="0.3">
      <c r="A4" s="106"/>
      <c r="B4" s="106"/>
      <c r="C4" s="106"/>
      <c r="D4" s="106"/>
      <c r="E4" s="106"/>
      <c r="F4" s="106"/>
      <c r="G4" s="106"/>
      <c r="H4" s="106"/>
      <c r="I4" s="353" t="s">
        <v>88</v>
      </c>
      <c r="J4" s="354"/>
      <c r="K4" s="106"/>
      <c r="L4" s="339" t="s">
        <v>142</v>
      </c>
      <c r="M4" s="340"/>
      <c r="N4" s="340"/>
      <c r="O4" s="340"/>
      <c r="P4" s="341"/>
    </row>
    <row r="5" spans="1:24" ht="15.75" thickBot="1" x14ac:dyDescent="0.3">
      <c r="A5" s="107"/>
      <c r="B5" s="107"/>
      <c r="C5" s="107"/>
      <c r="D5" s="108" t="s">
        <v>112</v>
      </c>
      <c r="E5" s="108" t="s">
        <v>113</v>
      </c>
      <c r="F5" s="108" t="s">
        <v>85</v>
      </c>
      <c r="G5" s="107"/>
      <c r="H5" s="108" t="s">
        <v>115</v>
      </c>
      <c r="I5" s="117" t="s">
        <v>1</v>
      </c>
      <c r="J5" s="108" t="s">
        <v>3</v>
      </c>
      <c r="K5" s="107"/>
      <c r="L5" s="342"/>
      <c r="M5" s="343"/>
      <c r="N5" s="343"/>
      <c r="O5" s="343"/>
      <c r="P5" s="344"/>
    </row>
    <row r="6" spans="1:24" ht="15.75" thickBot="1" x14ac:dyDescent="0.3">
      <c r="A6" s="107"/>
      <c r="B6" s="107"/>
      <c r="C6" s="107"/>
      <c r="D6" s="109" t="s">
        <v>2</v>
      </c>
      <c r="E6" s="109" t="s">
        <v>114</v>
      </c>
      <c r="F6" s="109" t="s">
        <v>2</v>
      </c>
      <c r="G6" s="107"/>
      <c r="H6" s="109" t="s">
        <v>2</v>
      </c>
      <c r="I6" s="118" t="s">
        <v>2</v>
      </c>
      <c r="J6" s="109" t="s">
        <v>2</v>
      </c>
      <c r="K6" s="107"/>
      <c r="L6" s="255"/>
      <c r="M6" s="350" t="s">
        <v>87</v>
      </c>
      <c r="N6" s="351"/>
      <c r="O6" s="348" t="s">
        <v>89</v>
      </c>
      <c r="P6" s="349"/>
    </row>
    <row r="7" spans="1:24" ht="15.75" thickBot="1" x14ac:dyDescent="0.3">
      <c r="A7" s="111" t="s">
        <v>0</v>
      </c>
      <c r="B7" s="352" t="s">
        <v>111</v>
      </c>
      <c r="C7" s="352"/>
      <c r="D7" s="110" t="s">
        <v>83</v>
      </c>
      <c r="E7" s="110" t="s">
        <v>84</v>
      </c>
      <c r="F7" s="110" t="s">
        <v>83</v>
      </c>
      <c r="G7" s="107"/>
      <c r="H7" s="110" t="s">
        <v>83</v>
      </c>
      <c r="I7" s="119" t="s">
        <v>83</v>
      </c>
      <c r="J7" s="110" t="s">
        <v>83</v>
      </c>
      <c r="K7" s="107"/>
      <c r="L7" s="255"/>
      <c r="M7" s="256"/>
      <c r="N7" s="256" t="s">
        <v>83</v>
      </c>
      <c r="O7" s="256"/>
      <c r="P7" s="257" t="s">
        <v>83</v>
      </c>
    </row>
    <row r="8" spans="1:24" ht="27.95" customHeight="1" x14ac:dyDescent="0.25">
      <c r="A8" s="113" t="s">
        <v>4</v>
      </c>
      <c r="B8" s="147"/>
      <c r="C8" s="112">
        <f>ROUND(Q8,-2)</f>
        <v>0</v>
      </c>
      <c r="D8" s="158" t="str">
        <f>IF(C8&lt;100,"",IF(C8&lt;1500,4,IF(C8&gt;3000,7.5,5.5)))</f>
        <v/>
      </c>
      <c r="E8" s="158" t="str">
        <f>IF(C8&lt;100,"",IF(C8&gt;3000,CONCATENATE("2x",VLOOKUP(C8,$Q$31:$T$80,2)),VLOOKUP(C8,$Q$31:$T$80,2)))</f>
        <v/>
      </c>
      <c r="F8" s="159" t="str">
        <f>IF(C8&lt;100,"",VLOOKUP(C8,$Q$31:$T$80,3))</f>
        <v/>
      </c>
      <c r="G8" s="166"/>
      <c r="H8" s="164" t="str">
        <f>IF(C8&lt;100,"",IF(R8=TRUE,VLOOKUP(C8,$Q$31:$T$80,4),0))</f>
        <v/>
      </c>
      <c r="I8" s="164" t="str">
        <f t="shared" ref="I8:I17" si="0">IF(C8&lt;100,"",F8+D8)</f>
        <v/>
      </c>
      <c r="J8" s="164" t="str">
        <f t="shared" ref="J8:J17" si="1">IF(C8&lt;100,"",H8+D8)</f>
        <v/>
      </c>
      <c r="L8" s="345" t="str">
        <f>IF(S19&gt;0,"Manual Values Have Been Entered","Enter a value for Square footage to activate User Input for Summer and Winter Loads")</f>
        <v>Enter a value for Square footage to activate User Input for Summer and Winter Loads</v>
      </c>
      <c r="M8" s="258"/>
      <c r="N8" s="278">
        <f>IF(OR(C8&lt;100,AND(S8=0,T8=0)),0,ROUND(S8,1)/10)</f>
        <v>0</v>
      </c>
      <c r="O8" s="275"/>
      <c r="P8" s="278">
        <f>IF(OR(C8&lt;100,AND(S8=0,T8=0)),0,ROUND(T8,1)/10)</f>
        <v>0</v>
      </c>
      <c r="Q8" s="274">
        <v>0</v>
      </c>
      <c r="R8" s="274"/>
      <c r="S8" s="274">
        <v>0</v>
      </c>
      <c r="T8" s="149">
        <v>0</v>
      </c>
      <c r="U8" s="149"/>
      <c r="V8" s="73" t="str">
        <f>IF(C8&lt;100,"",ROUND(S8,1)/10)</f>
        <v/>
      </c>
      <c r="W8" s="73" t="b">
        <f>S8&gt;0</f>
        <v>0</v>
      </c>
      <c r="X8" s="73" t="b">
        <f>T8&gt;0</f>
        <v>0</v>
      </c>
    </row>
    <row r="9" spans="1:24" ht="27.95" customHeight="1" x14ac:dyDescent="0.25">
      <c r="A9" s="115" t="s">
        <v>5</v>
      </c>
      <c r="B9" s="148"/>
      <c r="C9" s="114">
        <f t="shared" ref="C9:C17" si="2">ROUND(Q9,-2)</f>
        <v>0</v>
      </c>
      <c r="D9" s="160" t="str">
        <f t="shared" ref="D9:D17" si="3">IF(C9&lt;100,"",IF(C9&lt;1500,4,IF(C9&gt;3000,7.5,5.5)))</f>
        <v/>
      </c>
      <c r="E9" s="158" t="str">
        <f t="shared" ref="E9:E17" si="4">IF(C9&lt;100,"",IF(C9&gt;3000,CONCATENATE("2x",VLOOKUP(C9,$Q$31:$T$80,2)),VLOOKUP(C9,$Q$31:$T$80,2)))</f>
        <v/>
      </c>
      <c r="F9" s="161" t="str">
        <f t="shared" ref="F9:F17" si="5">IF(C9&lt;100,"",VLOOKUP(C9,$Q$31:$T$80,3))</f>
        <v/>
      </c>
      <c r="G9" s="166"/>
      <c r="H9" s="165" t="str">
        <f t="shared" ref="H9:H17" si="6">IF(C9&lt;100,"",IF(R9=TRUE,VLOOKUP(C9,$Q$31:$T$80,4),0))</f>
        <v/>
      </c>
      <c r="I9" s="165" t="str">
        <f t="shared" si="0"/>
        <v/>
      </c>
      <c r="J9" s="165" t="str">
        <f t="shared" si="1"/>
        <v/>
      </c>
      <c r="L9" s="346"/>
      <c r="M9" s="260"/>
      <c r="N9" s="259">
        <f>IF(OR(C9&lt;100,AND(S9=0,T9=0)),0,ROUND(S9,1)/10)</f>
        <v>0</v>
      </c>
      <c r="O9" s="276"/>
      <c r="P9" s="259">
        <f t="shared" ref="P9:P17" si="7">IF(OR(C9&lt;100,AND(S9=0,T9=0)),0,ROUND(T9,1)/10)</f>
        <v>0</v>
      </c>
      <c r="Q9" s="274">
        <v>0</v>
      </c>
      <c r="R9" s="274" t="b">
        <v>0</v>
      </c>
      <c r="S9" s="274"/>
      <c r="T9" s="149"/>
      <c r="U9" s="149"/>
      <c r="W9" s="73" t="b">
        <f t="shared" ref="W9:W17" si="8">S9&gt;0</f>
        <v>0</v>
      </c>
      <c r="X9" s="73" t="b">
        <f t="shared" ref="X9:X17" si="9">T9&gt;0</f>
        <v>0</v>
      </c>
    </row>
    <row r="10" spans="1:24" ht="27.95" customHeight="1" x14ac:dyDescent="0.25">
      <c r="A10" s="115" t="s">
        <v>6</v>
      </c>
      <c r="B10" s="148"/>
      <c r="C10" s="114">
        <f t="shared" si="2"/>
        <v>0</v>
      </c>
      <c r="D10" s="160" t="str">
        <f t="shared" si="3"/>
        <v/>
      </c>
      <c r="E10" s="158" t="str">
        <f t="shared" si="4"/>
        <v/>
      </c>
      <c r="F10" s="161" t="str">
        <f t="shared" si="5"/>
        <v/>
      </c>
      <c r="G10" s="166"/>
      <c r="H10" s="165" t="str">
        <f t="shared" si="6"/>
        <v/>
      </c>
      <c r="I10" s="165" t="str">
        <f t="shared" si="0"/>
        <v/>
      </c>
      <c r="J10" s="165" t="str">
        <f t="shared" si="1"/>
        <v/>
      </c>
      <c r="L10" s="346"/>
      <c r="M10" s="260"/>
      <c r="N10" s="259">
        <f t="shared" ref="N10:N17" si="10">IF(OR(C10&lt;100,AND(S10=0,T10=0)),0,ROUND(S10,1)/10)</f>
        <v>0</v>
      </c>
      <c r="O10" s="276"/>
      <c r="P10" s="259">
        <f t="shared" si="7"/>
        <v>0</v>
      </c>
      <c r="Q10" s="274"/>
      <c r="R10" s="274"/>
      <c r="S10" s="274"/>
      <c r="T10" s="149"/>
      <c r="U10" s="149"/>
      <c r="W10" s="73" t="b">
        <f t="shared" si="8"/>
        <v>0</v>
      </c>
      <c r="X10" s="73" t="b">
        <f t="shared" si="9"/>
        <v>0</v>
      </c>
    </row>
    <row r="11" spans="1:24" ht="27.95" customHeight="1" x14ac:dyDescent="0.25">
      <c r="A11" s="115" t="s">
        <v>7</v>
      </c>
      <c r="B11" s="148"/>
      <c r="C11" s="114">
        <f t="shared" si="2"/>
        <v>0</v>
      </c>
      <c r="D11" s="160" t="str">
        <f t="shared" si="3"/>
        <v/>
      </c>
      <c r="E11" s="158" t="str">
        <f t="shared" si="4"/>
        <v/>
      </c>
      <c r="F11" s="161" t="str">
        <f t="shared" si="5"/>
        <v/>
      </c>
      <c r="G11" s="166"/>
      <c r="H11" s="165" t="str">
        <f t="shared" si="6"/>
        <v/>
      </c>
      <c r="I11" s="165" t="str">
        <f t="shared" si="0"/>
        <v/>
      </c>
      <c r="J11" s="165" t="str">
        <f t="shared" si="1"/>
        <v/>
      </c>
      <c r="L11" s="346"/>
      <c r="M11" s="260"/>
      <c r="N11" s="259">
        <f t="shared" si="10"/>
        <v>0</v>
      </c>
      <c r="O11" s="276"/>
      <c r="P11" s="259">
        <f t="shared" si="7"/>
        <v>0</v>
      </c>
      <c r="Q11" s="274"/>
      <c r="R11" s="274"/>
      <c r="S11" s="274"/>
      <c r="T11" s="149"/>
      <c r="U11" s="149"/>
      <c r="W11" s="73" t="b">
        <f t="shared" si="8"/>
        <v>0</v>
      </c>
      <c r="X11" s="73" t="b">
        <f t="shared" si="9"/>
        <v>0</v>
      </c>
    </row>
    <row r="12" spans="1:24" ht="27.95" customHeight="1" x14ac:dyDescent="0.25">
      <c r="A12" s="115" t="s">
        <v>8</v>
      </c>
      <c r="B12" s="148"/>
      <c r="C12" s="114">
        <f>ROUND(Q12,-2)</f>
        <v>0</v>
      </c>
      <c r="D12" s="160" t="str">
        <f t="shared" si="3"/>
        <v/>
      </c>
      <c r="E12" s="158" t="str">
        <f t="shared" si="4"/>
        <v/>
      </c>
      <c r="F12" s="161" t="str">
        <f t="shared" si="5"/>
        <v/>
      </c>
      <c r="G12" s="166"/>
      <c r="H12" s="165" t="str">
        <f t="shared" si="6"/>
        <v/>
      </c>
      <c r="I12" s="165" t="str">
        <f t="shared" si="0"/>
        <v/>
      </c>
      <c r="J12" s="165" t="str">
        <f t="shared" si="1"/>
        <v/>
      </c>
      <c r="L12" s="346"/>
      <c r="M12" s="260"/>
      <c r="N12" s="259">
        <f t="shared" si="10"/>
        <v>0</v>
      </c>
      <c r="O12" s="276"/>
      <c r="P12" s="259">
        <f t="shared" si="7"/>
        <v>0</v>
      </c>
      <c r="Q12" s="274"/>
      <c r="R12" s="274"/>
      <c r="S12" s="274"/>
      <c r="T12" s="149"/>
      <c r="U12" s="149"/>
      <c r="W12" s="73" t="b">
        <f t="shared" si="8"/>
        <v>0</v>
      </c>
      <c r="X12" s="73" t="b">
        <f t="shared" si="9"/>
        <v>0</v>
      </c>
    </row>
    <row r="13" spans="1:24" ht="27.95" customHeight="1" x14ac:dyDescent="0.25">
      <c r="A13" s="115" t="s">
        <v>9</v>
      </c>
      <c r="B13" s="148"/>
      <c r="C13" s="114">
        <f t="shared" si="2"/>
        <v>0</v>
      </c>
      <c r="D13" s="160" t="str">
        <f t="shared" si="3"/>
        <v/>
      </c>
      <c r="E13" s="158" t="str">
        <f t="shared" si="4"/>
        <v/>
      </c>
      <c r="F13" s="161" t="str">
        <f t="shared" si="5"/>
        <v/>
      </c>
      <c r="G13" s="166"/>
      <c r="H13" s="165" t="str">
        <f t="shared" si="6"/>
        <v/>
      </c>
      <c r="I13" s="165" t="str">
        <f t="shared" si="0"/>
        <v/>
      </c>
      <c r="J13" s="165" t="str">
        <f t="shared" si="1"/>
        <v/>
      </c>
      <c r="L13" s="346"/>
      <c r="M13" s="260"/>
      <c r="N13" s="259">
        <f t="shared" si="10"/>
        <v>0</v>
      </c>
      <c r="O13" s="276"/>
      <c r="P13" s="259">
        <f t="shared" si="7"/>
        <v>0</v>
      </c>
      <c r="Q13" s="274"/>
      <c r="R13" s="274"/>
      <c r="S13" s="274"/>
      <c r="T13" s="149"/>
      <c r="U13" s="149"/>
      <c r="W13" s="73" t="b">
        <f t="shared" si="8"/>
        <v>0</v>
      </c>
      <c r="X13" s="73" t="b">
        <f t="shared" si="9"/>
        <v>0</v>
      </c>
    </row>
    <row r="14" spans="1:24" ht="27.95" customHeight="1" x14ac:dyDescent="0.25">
      <c r="A14" s="115" t="s">
        <v>10</v>
      </c>
      <c r="B14" s="148"/>
      <c r="C14" s="114">
        <f t="shared" si="2"/>
        <v>0</v>
      </c>
      <c r="D14" s="160" t="str">
        <f t="shared" si="3"/>
        <v/>
      </c>
      <c r="E14" s="158" t="str">
        <f t="shared" si="4"/>
        <v/>
      </c>
      <c r="F14" s="161" t="str">
        <f t="shared" si="5"/>
        <v/>
      </c>
      <c r="G14" s="166"/>
      <c r="H14" s="165" t="str">
        <f t="shared" si="6"/>
        <v/>
      </c>
      <c r="I14" s="165" t="str">
        <f t="shared" si="0"/>
        <v/>
      </c>
      <c r="J14" s="165" t="str">
        <f t="shared" si="1"/>
        <v/>
      </c>
      <c r="L14" s="346"/>
      <c r="M14" s="260"/>
      <c r="N14" s="259">
        <f t="shared" si="10"/>
        <v>0</v>
      </c>
      <c r="O14" s="276"/>
      <c r="P14" s="259">
        <f t="shared" si="7"/>
        <v>0</v>
      </c>
      <c r="Q14" s="274"/>
      <c r="R14" s="274"/>
      <c r="S14" s="274"/>
      <c r="T14" s="149"/>
      <c r="U14" s="149"/>
      <c r="W14" s="73" t="b">
        <f t="shared" si="8"/>
        <v>0</v>
      </c>
      <c r="X14" s="73" t="b">
        <f t="shared" si="9"/>
        <v>0</v>
      </c>
    </row>
    <row r="15" spans="1:24" ht="27.95" customHeight="1" x14ac:dyDescent="0.25">
      <c r="A15" s="115" t="s">
        <v>11</v>
      </c>
      <c r="B15" s="148"/>
      <c r="C15" s="114">
        <f t="shared" si="2"/>
        <v>0</v>
      </c>
      <c r="D15" s="160" t="str">
        <f t="shared" si="3"/>
        <v/>
      </c>
      <c r="E15" s="158" t="str">
        <f t="shared" si="4"/>
        <v/>
      </c>
      <c r="F15" s="161" t="str">
        <f t="shared" si="5"/>
        <v/>
      </c>
      <c r="G15" s="166"/>
      <c r="H15" s="165" t="str">
        <f t="shared" si="6"/>
        <v/>
      </c>
      <c r="I15" s="165" t="str">
        <f t="shared" si="0"/>
        <v/>
      </c>
      <c r="J15" s="165" t="str">
        <f t="shared" si="1"/>
        <v/>
      </c>
      <c r="L15" s="346"/>
      <c r="M15" s="260"/>
      <c r="N15" s="259">
        <f t="shared" si="10"/>
        <v>0</v>
      </c>
      <c r="O15" s="276"/>
      <c r="P15" s="259">
        <f t="shared" si="7"/>
        <v>0</v>
      </c>
      <c r="Q15" s="274"/>
      <c r="R15" s="274"/>
      <c r="S15" s="274"/>
      <c r="T15" s="149"/>
      <c r="U15" s="149"/>
      <c r="W15" s="73" t="b">
        <f t="shared" si="8"/>
        <v>0</v>
      </c>
      <c r="X15" s="73" t="b">
        <f t="shared" si="9"/>
        <v>0</v>
      </c>
    </row>
    <row r="16" spans="1:24" ht="27.95" customHeight="1" x14ac:dyDescent="0.25">
      <c r="A16" s="115" t="s">
        <v>12</v>
      </c>
      <c r="B16" s="148"/>
      <c r="C16" s="114">
        <f t="shared" si="2"/>
        <v>0</v>
      </c>
      <c r="D16" s="160" t="str">
        <f t="shared" si="3"/>
        <v/>
      </c>
      <c r="E16" s="158" t="str">
        <f t="shared" si="4"/>
        <v/>
      </c>
      <c r="F16" s="161" t="str">
        <f t="shared" si="5"/>
        <v/>
      </c>
      <c r="G16" s="166"/>
      <c r="H16" s="165" t="str">
        <f t="shared" si="6"/>
        <v/>
      </c>
      <c r="I16" s="165" t="str">
        <f t="shared" si="0"/>
        <v/>
      </c>
      <c r="J16" s="165" t="str">
        <f t="shared" si="1"/>
        <v/>
      </c>
      <c r="L16" s="346"/>
      <c r="M16" s="261"/>
      <c r="N16" s="259">
        <f t="shared" si="10"/>
        <v>0</v>
      </c>
      <c r="O16" s="276"/>
      <c r="P16" s="259">
        <f t="shared" si="7"/>
        <v>0</v>
      </c>
      <c r="Q16" s="274"/>
      <c r="R16" s="274"/>
      <c r="S16" s="274"/>
      <c r="T16" s="149"/>
      <c r="U16" s="149"/>
      <c r="W16" s="73" t="b">
        <f t="shared" si="8"/>
        <v>0</v>
      </c>
      <c r="X16" s="73" t="b">
        <f t="shared" si="9"/>
        <v>0</v>
      </c>
    </row>
    <row r="17" spans="1:24" ht="27.95" customHeight="1" thickBot="1" x14ac:dyDescent="0.3">
      <c r="A17" s="115" t="s">
        <v>13</v>
      </c>
      <c r="B17" s="148"/>
      <c r="C17" s="114">
        <f t="shared" si="2"/>
        <v>0</v>
      </c>
      <c r="D17" s="160" t="str">
        <f t="shared" si="3"/>
        <v/>
      </c>
      <c r="E17" s="158" t="str">
        <f t="shared" si="4"/>
        <v/>
      </c>
      <c r="F17" s="161" t="str">
        <f t="shared" si="5"/>
        <v/>
      </c>
      <c r="G17" s="166"/>
      <c r="H17" s="165" t="str">
        <f t="shared" si="6"/>
        <v/>
      </c>
      <c r="I17" s="165" t="str">
        <f t="shared" si="0"/>
        <v/>
      </c>
      <c r="J17" s="165" t="str">
        <f t="shared" si="1"/>
        <v/>
      </c>
      <c r="L17" s="347"/>
      <c r="M17" s="262"/>
      <c r="N17" s="263">
        <f t="shared" si="10"/>
        <v>0</v>
      </c>
      <c r="O17" s="277"/>
      <c r="P17" s="279">
        <f t="shared" si="7"/>
        <v>0</v>
      </c>
      <c r="Q17" s="274"/>
      <c r="R17" s="274"/>
      <c r="S17" s="274"/>
      <c r="T17" s="149"/>
      <c r="U17" s="149"/>
      <c r="W17" s="73" t="b">
        <f t="shared" si="8"/>
        <v>0</v>
      </c>
      <c r="X17" s="73" t="b">
        <f t="shared" si="9"/>
        <v>0</v>
      </c>
    </row>
    <row r="18" spans="1:24" ht="15" customHeight="1" thickTop="1" thickBot="1" x14ac:dyDescent="0.3">
      <c r="A18" s="107"/>
      <c r="B18" s="226"/>
      <c r="C18" s="163"/>
      <c r="D18" s="162"/>
      <c r="E18" s="162"/>
      <c r="F18" s="107"/>
      <c r="G18" s="107"/>
      <c r="H18" s="107"/>
      <c r="I18" s="107"/>
      <c r="J18" s="107"/>
      <c r="K18" s="107"/>
      <c r="L18" s="107"/>
      <c r="M18" s="107"/>
      <c r="N18" s="150"/>
      <c r="O18" s="107"/>
      <c r="P18" s="107"/>
    </row>
    <row r="19" spans="1:24" ht="15" customHeight="1" x14ac:dyDescent="0.25">
      <c r="A19" s="107"/>
      <c r="B19" s="336" t="s">
        <v>171</v>
      </c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8"/>
      <c r="O19" s="107"/>
      <c r="P19" s="107"/>
      <c r="S19" s="73">
        <f>SUM(S8:T17)</f>
        <v>0</v>
      </c>
    </row>
    <row r="20" spans="1:24" x14ac:dyDescent="0.25">
      <c r="A20" s="116"/>
      <c r="B20" s="333" t="s">
        <v>172</v>
      </c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5"/>
      <c r="O20" s="116"/>
      <c r="P20" s="116"/>
    </row>
    <row r="21" spans="1:24" x14ac:dyDescent="0.25">
      <c r="A21" s="116"/>
      <c r="B21" s="330" t="s">
        <v>173</v>
      </c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2"/>
      <c r="O21" s="116"/>
      <c r="P21" s="116"/>
    </row>
    <row r="22" spans="1:24" x14ac:dyDescent="0.25">
      <c r="B22" s="327" t="s">
        <v>175</v>
      </c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9"/>
    </row>
    <row r="23" spans="1:24" x14ac:dyDescent="0.25">
      <c r="B23" s="324" t="s">
        <v>174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6"/>
    </row>
    <row r="24" spans="1:24" ht="15.75" thickBot="1" x14ac:dyDescent="0.3">
      <c r="B24" s="321" t="s">
        <v>185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3"/>
    </row>
    <row r="27" spans="1:24" hidden="1" x14ac:dyDescent="0.25"/>
    <row r="28" spans="1:24" hidden="1" x14ac:dyDescent="0.25"/>
    <row r="29" spans="1:24" hidden="1" x14ac:dyDescent="0.25"/>
    <row r="30" spans="1:24" hidden="1" x14ac:dyDescent="0.25">
      <c r="R30" s="73" t="s">
        <v>84</v>
      </c>
      <c r="S30" s="73" t="s">
        <v>85</v>
      </c>
      <c r="T30" s="73" t="s">
        <v>86</v>
      </c>
    </row>
    <row r="31" spans="1:24" hidden="1" x14ac:dyDescent="0.25">
      <c r="Q31" s="73">
        <v>100</v>
      </c>
      <c r="R31" s="73">
        <v>1</v>
      </c>
      <c r="S31" s="73">
        <f>VLOOKUP(R31,'Transf Sizing Data'!$B$19:$E$26,4,FALSE)</f>
        <v>2</v>
      </c>
      <c r="T31" s="73">
        <f>VLOOKUP(R31,'Transf Sizing Data'!$B$30:$E$37,4,FALSE)</f>
        <v>5</v>
      </c>
    </row>
    <row r="32" spans="1:24" hidden="1" x14ac:dyDescent="0.25">
      <c r="Q32" s="73">
        <f>Q31+100</f>
        <v>200</v>
      </c>
      <c r="R32" s="73">
        <v>1</v>
      </c>
      <c r="S32" s="73">
        <f>VLOOKUP(R32,'Transf Sizing Data'!$B$19:$E$26,4,FALSE)</f>
        <v>2</v>
      </c>
      <c r="T32" s="73">
        <f>VLOOKUP(R32,'Transf Sizing Data'!$B$30:$E$37,4,FALSE)</f>
        <v>5</v>
      </c>
    </row>
    <row r="33" spans="17:20" hidden="1" x14ac:dyDescent="0.25">
      <c r="Q33" s="73">
        <f t="shared" ref="Q33:Q80" si="11">Q32+100</f>
        <v>300</v>
      </c>
      <c r="R33" s="73">
        <v>1</v>
      </c>
      <c r="S33" s="73">
        <f>VLOOKUP(R33,'Transf Sizing Data'!$B$19:$E$26,4,FALSE)</f>
        <v>2</v>
      </c>
      <c r="T33" s="73">
        <f>VLOOKUP(R33,'Transf Sizing Data'!$B$30:$E$37,4,FALSE)</f>
        <v>5</v>
      </c>
    </row>
    <row r="34" spans="17:20" hidden="1" x14ac:dyDescent="0.25">
      <c r="Q34" s="73">
        <f t="shared" si="11"/>
        <v>400</v>
      </c>
      <c r="R34" s="73">
        <v>1</v>
      </c>
      <c r="S34" s="73">
        <f>VLOOKUP(R34,'Transf Sizing Data'!$B$19:$E$26,4,FALSE)</f>
        <v>2</v>
      </c>
      <c r="T34" s="73">
        <f>VLOOKUP(R34,'Transf Sizing Data'!$B$30:$E$37,4,FALSE)</f>
        <v>5</v>
      </c>
    </row>
    <row r="35" spans="17:20" hidden="1" x14ac:dyDescent="0.25">
      <c r="Q35" s="73">
        <f t="shared" si="11"/>
        <v>500</v>
      </c>
      <c r="R35" s="73">
        <v>1</v>
      </c>
      <c r="S35" s="73">
        <f>VLOOKUP(R35,'Transf Sizing Data'!$B$19:$E$26,4,FALSE)</f>
        <v>2</v>
      </c>
      <c r="T35" s="73">
        <f>VLOOKUP(R35,'Transf Sizing Data'!$B$30:$E$37,4,FALSE)</f>
        <v>5</v>
      </c>
    </row>
    <row r="36" spans="17:20" hidden="1" x14ac:dyDescent="0.25">
      <c r="Q36" s="73">
        <f t="shared" si="11"/>
        <v>600</v>
      </c>
      <c r="R36" s="73">
        <v>1.5</v>
      </c>
      <c r="S36" s="73">
        <f>VLOOKUP(R36,'Transf Sizing Data'!$B$19:$E$26,4,FALSE)</f>
        <v>3</v>
      </c>
      <c r="T36" s="73">
        <f>VLOOKUP(R36,'Transf Sizing Data'!$B$30:$E$37,4,FALSE)</f>
        <v>5</v>
      </c>
    </row>
    <row r="37" spans="17:20" hidden="1" x14ac:dyDescent="0.25">
      <c r="Q37" s="73">
        <f t="shared" si="11"/>
        <v>700</v>
      </c>
      <c r="R37" s="73">
        <v>1.5</v>
      </c>
      <c r="S37" s="73">
        <f>VLOOKUP(R37,'Transf Sizing Data'!$B$19:$E$26,4,FALSE)</f>
        <v>3</v>
      </c>
      <c r="T37" s="73">
        <f>VLOOKUP(R37,'Transf Sizing Data'!$B$30:$E$37,4,FALSE)</f>
        <v>5</v>
      </c>
    </row>
    <row r="38" spans="17:20" hidden="1" x14ac:dyDescent="0.25">
      <c r="Q38" s="73">
        <f t="shared" si="11"/>
        <v>800</v>
      </c>
      <c r="R38" s="73">
        <v>1.5</v>
      </c>
      <c r="S38" s="73">
        <f>VLOOKUP(R38,'Transf Sizing Data'!$B$19:$E$26,4,FALSE)</f>
        <v>3</v>
      </c>
      <c r="T38" s="73">
        <f>VLOOKUP(R38,'Transf Sizing Data'!$B$30:$E$37,4,FALSE)</f>
        <v>5</v>
      </c>
    </row>
    <row r="39" spans="17:20" hidden="1" x14ac:dyDescent="0.25">
      <c r="Q39" s="73">
        <f t="shared" si="11"/>
        <v>900</v>
      </c>
      <c r="R39" s="73">
        <v>1.5</v>
      </c>
      <c r="S39" s="73">
        <f>VLOOKUP(R39,'Transf Sizing Data'!$B$19:$E$26,4,FALSE)</f>
        <v>3</v>
      </c>
      <c r="T39" s="73">
        <f>VLOOKUP(R39,'Transf Sizing Data'!$B$30:$E$37,4,FALSE)</f>
        <v>5</v>
      </c>
    </row>
    <row r="40" spans="17:20" hidden="1" x14ac:dyDescent="0.25">
      <c r="Q40" s="73">
        <f t="shared" si="11"/>
        <v>1000</v>
      </c>
      <c r="R40" s="73">
        <v>2</v>
      </c>
      <c r="S40" s="73">
        <f>VLOOKUP(R40,'Transf Sizing Data'!$B$19:$E$26,4,FALSE)</f>
        <v>4</v>
      </c>
      <c r="T40" s="73">
        <f>VLOOKUP(R40,'Transf Sizing Data'!$B$30:$E$37,4,FALSE)</f>
        <v>6</v>
      </c>
    </row>
    <row r="41" spans="17:20" hidden="1" x14ac:dyDescent="0.25">
      <c r="Q41" s="73">
        <f t="shared" si="11"/>
        <v>1100</v>
      </c>
      <c r="R41" s="73">
        <v>2</v>
      </c>
      <c r="S41" s="73">
        <f>VLOOKUP(R41,'Transf Sizing Data'!$B$19:$E$26,4,FALSE)</f>
        <v>4</v>
      </c>
      <c r="T41" s="73">
        <f>VLOOKUP(R41,'Transf Sizing Data'!$B$30:$E$37,4,FALSE)</f>
        <v>6</v>
      </c>
    </row>
    <row r="42" spans="17:20" hidden="1" x14ac:dyDescent="0.25">
      <c r="Q42" s="73">
        <f t="shared" si="11"/>
        <v>1200</v>
      </c>
      <c r="R42" s="73">
        <v>2</v>
      </c>
      <c r="S42" s="73">
        <f>VLOOKUP(R42,'Transf Sizing Data'!$B$19:$E$26,4,FALSE)</f>
        <v>4</v>
      </c>
      <c r="T42" s="73">
        <f>VLOOKUP(R42,'Transf Sizing Data'!$B$30:$E$37,4,FALSE)</f>
        <v>6</v>
      </c>
    </row>
    <row r="43" spans="17:20" hidden="1" x14ac:dyDescent="0.25">
      <c r="Q43" s="73">
        <f t="shared" si="11"/>
        <v>1300</v>
      </c>
      <c r="R43" s="73">
        <v>2.5</v>
      </c>
      <c r="S43" s="73">
        <f>VLOOKUP(R43,'Transf Sizing Data'!$B$19:$E$26,4,FALSE)</f>
        <v>5</v>
      </c>
      <c r="T43" s="73">
        <f>VLOOKUP(R43,'Transf Sizing Data'!$B$30:$E$37,4,FALSE)</f>
        <v>8</v>
      </c>
    </row>
    <row r="44" spans="17:20" hidden="1" x14ac:dyDescent="0.25">
      <c r="Q44" s="73">
        <f t="shared" si="11"/>
        <v>1400</v>
      </c>
      <c r="R44" s="73">
        <v>2.5</v>
      </c>
      <c r="S44" s="73">
        <f>VLOOKUP(R44,'Transf Sizing Data'!$B$19:$E$26,4,FALSE)</f>
        <v>5</v>
      </c>
      <c r="T44" s="73">
        <f>VLOOKUP(R44,'Transf Sizing Data'!$B$30:$E$37,4,FALSE)</f>
        <v>8</v>
      </c>
    </row>
    <row r="45" spans="17:20" hidden="1" x14ac:dyDescent="0.25">
      <c r="Q45" s="73">
        <f t="shared" si="11"/>
        <v>1500</v>
      </c>
      <c r="R45" s="73">
        <v>2.5</v>
      </c>
      <c r="S45" s="73">
        <f>VLOOKUP(R45,'Transf Sizing Data'!$B$19:$E$26,4,FALSE)</f>
        <v>5</v>
      </c>
      <c r="T45" s="73">
        <f>VLOOKUP(R45,'Transf Sizing Data'!$B$30:$E$37,4,FALSE)</f>
        <v>8</v>
      </c>
    </row>
    <row r="46" spans="17:20" hidden="1" x14ac:dyDescent="0.25">
      <c r="Q46" s="73">
        <f t="shared" si="11"/>
        <v>1600</v>
      </c>
      <c r="R46" s="73">
        <v>3</v>
      </c>
      <c r="S46" s="73">
        <f>VLOOKUP(R46,'Transf Sizing Data'!$B$19:$E$26,4,FALSE)</f>
        <v>5.5</v>
      </c>
      <c r="T46" s="73">
        <f>VLOOKUP(R46,'Transf Sizing Data'!$B$30:$E$37,4,FALSE)</f>
        <v>9</v>
      </c>
    </row>
    <row r="47" spans="17:20" hidden="1" x14ac:dyDescent="0.25">
      <c r="Q47" s="73">
        <f t="shared" si="11"/>
        <v>1700</v>
      </c>
      <c r="R47" s="73">
        <v>3</v>
      </c>
      <c r="S47" s="73">
        <f>VLOOKUP(R47,'Transf Sizing Data'!$B$19:$E$26,4,FALSE)</f>
        <v>5.5</v>
      </c>
      <c r="T47" s="73">
        <f>VLOOKUP(R47,'Transf Sizing Data'!$B$30:$E$37,4,FALSE)</f>
        <v>9</v>
      </c>
    </row>
    <row r="48" spans="17:20" hidden="1" x14ac:dyDescent="0.25">
      <c r="Q48" s="73">
        <f t="shared" si="11"/>
        <v>1800</v>
      </c>
      <c r="R48" s="73">
        <v>3</v>
      </c>
      <c r="S48" s="73">
        <f>VLOOKUP(R48,'Transf Sizing Data'!$B$19:$E$26,4,FALSE)</f>
        <v>5.5</v>
      </c>
      <c r="T48" s="73">
        <f>VLOOKUP(R48,'Transf Sizing Data'!$B$30:$E$37,4,FALSE)</f>
        <v>9</v>
      </c>
    </row>
    <row r="49" spans="15:20" hidden="1" x14ac:dyDescent="0.25">
      <c r="Q49" s="73">
        <f t="shared" si="11"/>
        <v>1900</v>
      </c>
      <c r="R49" s="73">
        <v>3.5</v>
      </c>
      <c r="S49" s="73">
        <f>VLOOKUP(R49,'Transf Sizing Data'!$B$19:$E$26,4,FALSE)</f>
        <v>7</v>
      </c>
      <c r="T49" s="73">
        <f>VLOOKUP(R49,'Transf Sizing Data'!$B$30:$E$37,4,FALSE)</f>
        <v>10.5</v>
      </c>
    </row>
    <row r="50" spans="15:20" hidden="1" x14ac:dyDescent="0.25">
      <c r="Q50" s="73">
        <f t="shared" si="11"/>
        <v>2000</v>
      </c>
      <c r="R50" s="73">
        <v>3.5</v>
      </c>
      <c r="S50" s="73">
        <f>VLOOKUP(R50,'Transf Sizing Data'!$B$19:$E$26,4,FALSE)</f>
        <v>7</v>
      </c>
      <c r="T50" s="73">
        <f>VLOOKUP(R50,'Transf Sizing Data'!$B$30:$E$37,4,FALSE)</f>
        <v>10.5</v>
      </c>
    </row>
    <row r="51" spans="15:20" hidden="1" x14ac:dyDescent="0.25">
      <c r="Q51" s="73">
        <f t="shared" si="11"/>
        <v>2100</v>
      </c>
      <c r="R51" s="73">
        <v>3.5</v>
      </c>
      <c r="S51" s="73">
        <f>VLOOKUP(R51,'Transf Sizing Data'!$B$19:$E$26,4,FALSE)</f>
        <v>7</v>
      </c>
      <c r="T51" s="73">
        <f>VLOOKUP(R51,'Transf Sizing Data'!$B$30:$E$37,4,FALSE)</f>
        <v>10.5</v>
      </c>
    </row>
    <row r="52" spans="15:20" hidden="1" x14ac:dyDescent="0.25">
      <c r="Q52" s="73">
        <f t="shared" si="11"/>
        <v>2200</v>
      </c>
      <c r="R52" s="73">
        <v>4</v>
      </c>
      <c r="S52" s="73">
        <f>VLOOKUP(R52,'Transf Sizing Data'!$B$19:$E$26,4,FALSE)</f>
        <v>8</v>
      </c>
      <c r="T52" s="73">
        <f>VLOOKUP(R52,'Transf Sizing Data'!$B$30:$E$37,4,FALSE)</f>
        <v>12.5</v>
      </c>
    </row>
    <row r="53" spans="15:20" hidden="1" x14ac:dyDescent="0.25">
      <c r="Q53" s="73">
        <f t="shared" si="11"/>
        <v>2300</v>
      </c>
      <c r="R53" s="73">
        <v>4</v>
      </c>
      <c r="S53" s="73">
        <f>VLOOKUP(R53,'Transf Sizing Data'!$B$19:$E$26,4,FALSE)</f>
        <v>8</v>
      </c>
      <c r="T53" s="73">
        <f>VLOOKUP(R53,'Transf Sizing Data'!$B$30:$E$37,4,FALSE)</f>
        <v>12.5</v>
      </c>
    </row>
    <row r="54" spans="15:20" hidden="1" x14ac:dyDescent="0.25">
      <c r="Q54" s="73">
        <f t="shared" si="11"/>
        <v>2400</v>
      </c>
      <c r="R54" s="73">
        <v>4</v>
      </c>
      <c r="S54" s="73">
        <f>VLOOKUP(R54,'Transf Sizing Data'!$B$19:$E$26,4,FALSE)</f>
        <v>8</v>
      </c>
      <c r="T54" s="73">
        <f>VLOOKUP(R54,'Transf Sizing Data'!$B$30:$E$37,4,FALSE)</f>
        <v>12.5</v>
      </c>
    </row>
    <row r="55" spans="15:20" hidden="1" x14ac:dyDescent="0.25">
      <c r="Q55" s="73">
        <f t="shared" si="11"/>
        <v>2500</v>
      </c>
      <c r="R55" s="73">
        <v>5</v>
      </c>
      <c r="S55" s="73">
        <f>VLOOKUP(R55,'Transf Sizing Data'!$B$19:$E$26,4,FALSE)</f>
        <v>10</v>
      </c>
      <c r="T55" s="73">
        <f>VLOOKUP(R55,'Transf Sizing Data'!$B$30:$E$37,4,FALSE)</f>
        <v>16</v>
      </c>
    </row>
    <row r="56" spans="15:20" hidden="1" x14ac:dyDescent="0.25">
      <c r="Q56" s="73">
        <f t="shared" si="11"/>
        <v>2600</v>
      </c>
      <c r="R56" s="73">
        <v>5</v>
      </c>
      <c r="S56" s="73">
        <f>VLOOKUP(R56,'Transf Sizing Data'!$B$19:$E$26,4,FALSE)</f>
        <v>10</v>
      </c>
      <c r="T56" s="73">
        <f>VLOOKUP(R56,'Transf Sizing Data'!$B$30:$E$37,4,FALSE)</f>
        <v>16</v>
      </c>
    </row>
    <row r="57" spans="15:20" hidden="1" x14ac:dyDescent="0.25">
      <c r="Q57" s="73">
        <f t="shared" si="11"/>
        <v>2700</v>
      </c>
      <c r="R57" s="73">
        <v>5</v>
      </c>
      <c r="S57" s="73">
        <f>VLOOKUP(R57,'Transf Sizing Data'!$B$19:$E$26,4,FALSE)</f>
        <v>10</v>
      </c>
      <c r="T57" s="73">
        <f>VLOOKUP(R57,'Transf Sizing Data'!$B$30:$E$37,4,FALSE)</f>
        <v>16</v>
      </c>
    </row>
    <row r="58" spans="15:20" hidden="1" x14ac:dyDescent="0.25">
      <c r="Q58" s="73">
        <f t="shared" si="11"/>
        <v>2800</v>
      </c>
      <c r="R58" s="73">
        <v>5</v>
      </c>
      <c r="S58" s="73">
        <f>VLOOKUP(R58,'Transf Sizing Data'!$B$19:$E$26,4,FALSE)</f>
        <v>10</v>
      </c>
      <c r="T58" s="73">
        <f>VLOOKUP(R58,'Transf Sizing Data'!$B$30:$E$37,4,FALSE)</f>
        <v>16</v>
      </c>
    </row>
    <row r="59" spans="15:20" hidden="1" x14ac:dyDescent="0.25">
      <c r="Q59" s="73">
        <f t="shared" si="11"/>
        <v>2900</v>
      </c>
      <c r="R59" s="73">
        <v>5</v>
      </c>
      <c r="S59" s="73">
        <f>VLOOKUP(R59,'Transf Sizing Data'!$B$19:$E$26,4,FALSE)</f>
        <v>10</v>
      </c>
      <c r="T59" s="73">
        <f>VLOOKUP(R59,'Transf Sizing Data'!$B$30:$E$37,4,FALSE)</f>
        <v>16</v>
      </c>
    </row>
    <row r="60" spans="15:20" hidden="1" x14ac:dyDescent="0.25">
      <c r="Q60" s="73">
        <f t="shared" si="11"/>
        <v>3000</v>
      </c>
      <c r="R60" s="73">
        <v>5</v>
      </c>
      <c r="S60" s="73">
        <f>VLOOKUP(R60,'Transf Sizing Data'!$B$19:$E$26,4,FALSE)</f>
        <v>10</v>
      </c>
      <c r="T60" s="73">
        <f>VLOOKUP(R60,'Transf Sizing Data'!$B$30:$E$37,4,FALSE)</f>
        <v>16</v>
      </c>
    </row>
    <row r="61" spans="15:20" hidden="1" x14ac:dyDescent="0.25">
      <c r="O61" s="73" t="s">
        <v>139</v>
      </c>
      <c r="Q61" s="73">
        <f t="shared" si="11"/>
        <v>3100</v>
      </c>
      <c r="R61" s="73">
        <v>3</v>
      </c>
      <c r="S61" s="73">
        <f>VLOOKUP(R61,'Transf Sizing Data'!$B$19:$E$26,4,FALSE)</f>
        <v>5.5</v>
      </c>
      <c r="T61" s="73">
        <f>VLOOKUP(R61,'Transf Sizing Data'!$B$30:$E$37,4,FALSE)</f>
        <v>9</v>
      </c>
    </row>
    <row r="62" spans="15:20" hidden="1" x14ac:dyDescent="0.25">
      <c r="O62" s="73" t="s">
        <v>139</v>
      </c>
      <c r="Q62" s="73">
        <f t="shared" si="11"/>
        <v>3200</v>
      </c>
      <c r="R62" s="73">
        <v>3</v>
      </c>
      <c r="S62" s="73">
        <f>VLOOKUP(R62,'Transf Sizing Data'!$B$19:$E$26,4,FALSE)</f>
        <v>5.5</v>
      </c>
      <c r="T62" s="73">
        <f>VLOOKUP(R62,'Transf Sizing Data'!$B$30:$E$37,4,FALSE)</f>
        <v>9</v>
      </c>
    </row>
    <row r="63" spans="15:20" hidden="1" x14ac:dyDescent="0.25">
      <c r="O63" s="73" t="s">
        <v>139</v>
      </c>
      <c r="Q63" s="73">
        <f t="shared" si="11"/>
        <v>3300</v>
      </c>
      <c r="R63" s="73">
        <v>3</v>
      </c>
      <c r="S63" s="73">
        <f>VLOOKUP(R63,'Transf Sizing Data'!$B$19:$E$26,4,FALSE)</f>
        <v>5.5</v>
      </c>
      <c r="T63" s="73">
        <f>VLOOKUP(R63,'Transf Sizing Data'!$B$30:$E$37,4,FALSE)</f>
        <v>9</v>
      </c>
    </row>
    <row r="64" spans="15:20" hidden="1" x14ac:dyDescent="0.25">
      <c r="O64" s="73" t="s">
        <v>139</v>
      </c>
      <c r="Q64" s="73">
        <f t="shared" si="11"/>
        <v>3400</v>
      </c>
      <c r="R64" s="73">
        <v>3</v>
      </c>
      <c r="S64" s="73">
        <f>VLOOKUP(R64,'Transf Sizing Data'!$B$19:$E$26,4,FALSE)</f>
        <v>5.5</v>
      </c>
      <c r="T64" s="73">
        <f>VLOOKUP(R64,'Transf Sizing Data'!$B$30:$E$37,4,FALSE)</f>
        <v>9</v>
      </c>
    </row>
    <row r="65" spans="15:20" hidden="1" x14ac:dyDescent="0.25">
      <c r="O65" s="73" t="s">
        <v>139</v>
      </c>
      <c r="Q65" s="73">
        <f t="shared" si="11"/>
        <v>3500</v>
      </c>
      <c r="R65" s="73">
        <v>3</v>
      </c>
      <c r="S65" s="73">
        <f>VLOOKUP(R65,'Transf Sizing Data'!$B$19:$E$26,4,FALSE)</f>
        <v>5.5</v>
      </c>
      <c r="T65" s="73">
        <f>VLOOKUP(R65,'Transf Sizing Data'!$B$30:$E$37,4,FALSE)</f>
        <v>9</v>
      </c>
    </row>
    <row r="66" spans="15:20" hidden="1" x14ac:dyDescent="0.25">
      <c r="O66" s="73" t="s">
        <v>139</v>
      </c>
      <c r="Q66" s="73">
        <f t="shared" si="11"/>
        <v>3600</v>
      </c>
      <c r="R66" s="73">
        <v>3</v>
      </c>
      <c r="S66" s="73">
        <f>VLOOKUP(R66,'Transf Sizing Data'!$B$19:$E$26,4,FALSE)</f>
        <v>5.5</v>
      </c>
      <c r="T66" s="73">
        <f>VLOOKUP(R66,'Transf Sizing Data'!$B$30:$E$37,4,FALSE)</f>
        <v>9</v>
      </c>
    </row>
    <row r="67" spans="15:20" hidden="1" x14ac:dyDescent="0.25">
      <c r="O67" s="73" t="s">
        <v>139</v>
      </c>
      <c r="Q67" s="73">
        <f t="shared" si="11"/>
        <v>3700</v>
      </c>
      <c r="R67" s="73">
        <v>3.5</v>
      </c>
      <c r="S67" s="73">
        <f>VLOOKUP(R67,'Transf Sizing Data'!$B$19:$E$26,4,FALSE)</f>
        <v>7</v>
      </c>
      <c r="T67" s="73">
        <f>VLOOKUP(R67,'Transf Sizing Data'!$B$30:$E$37,4,FALSE)</f>
        <v>10.5</v>
      </c>
    </row>
    <row r="68" spans="15:20" hidden="1" x14ac:dyDescent="0.25">
      <c r="O68" s="73" t="s">
        <v>139</v>
      </c>
      <c r="Q68" s="73">
        <f t="shared" si="11"/>
        <v>3800</v>
      </c>
      <c r="R68" s="73">
        <v>3.5</v>
      </c>
      <c r="S68" s="73">
        <f>VLOOKUP(R68,'Transf Sizing Data'!$B$19:$E$26,4,FALSE)</f>
        <v>7</v>
      </c>
      <c r="T68" s="73">
        <f>VLOOKUP(R68,'Transf Sizing Data'!$B$30:$E$37,4,FALSE)</f>
        <v>10.5</v>
      </c>
    </row>
    <row r="69" spans="15:20" hidden="1" x14ac:dyDescent="0.25">
      <c r="O69" s="73" t="s">
        <v>139</v>
      </c>
      <c r="Q69" s="73">
        <f t="shared" si="11"/>
        <v>3900</v>
      </c>
      <c r="R69" s="73">
        <v>3.5</v>
      </c>
      <c r="S69" s="73">
        <f>VLOOKUP(R69,'Transf Sizing Data'!$B$19:$E$26,4,FALSE)</f>
        <v>7</v>
      </c>
      <c r="T69" s="73">
        <f>VLOOKUP(R69,'Transf Sizing Data'!$B$30:$E$37,4,FALSE)</f>
        <v>10.5</v>
      </c>
    </row>
    <row r="70" spans="15:20" hidden="1" x14ac:dyDescent="0.25">
      <c r="O70" s="73" t="s">
        <v>139</v>
      </c>
      <c r="Q70" s="73">
        <f t="shared" si="11"/>
        <v>4000</v>
      </c>
      <c r="R70" s="73">
        <v>3.5</v>
      </c>
      <c r="S70" s="73">
        <f>VLOOKUP(R70,'Transf Sizing Data'!$B$19:$E$26,4,FALSE)</f>
        <v>7</v>
      </c>
      <c r="T70" s="73">
        <f>VLOOKUP(R70,'Transf Sizing Data'!$B$30:$E$37,4,FALSE)</f>
        <v>10.5</v>
      </c>
    </row>
    <row r="71" spans="15:20" hidden="1" x14ac:dyDescent="0.25">
      <c r="O71" s="73" t="s">
        <v>139</v>
      </c>
      <c r="Q71" s="73">
        <f t="shared" si="11"/>
        <v>4100</v>
      </c>
      <c r="R71" s="73">
        <v>3.5</v>
      </c>
      <c r="S71" s="73">
        <f>VLOOKUP(R71,'Transf Sizing Data'!$B$19:$E$26,4,FALSE)</f>
        <v>7</v>
      </c>
      <c r="T71" s="73">
        <f>VLOOKUP(R71,'Transf Sizing Data'!$B$30:$E$37,4,FALSE)</f>
        <v>10.5</v>
      </c>
    </row>
    <row r="72" spans="15:20" hidden="1" x14ac:dyDescent="0.25">
      <c r="O72" s="73" t="s">
        <v>139</v>
      </c>
      <c r="Q72" s="73">
        <f t="shared" si="11"/>
        <v>4200</v>
      </c>
      <c r="R72" s="73">
        <v>3.5</v>
      </c>
      <c r="S72" s="73">
        <f>VLOOKUP(R72,'Transf Sizing Data'!$B$19:$E$26,4,FALSE)</f>
        <v>7</v>
      </c>
      <c r="T72" s="73">
        <f>VLOOKUP(R72,'Transf Sizing Data'!$B$30:$E$37,4,FALSE)</f>
        <v>10.5</v>
      </c>
    </row>
    <row r="73" spans="15:20" hidden="1" x14ac:dyDescent="0.25">
      <c r="O73" s="73" t="s">
        <v>139</v>
      </c>
      <c r="Q73" s="73">
        <f t="shared" si="11"/>
        <v>4300</v>
      </c>
      <c r="R73" s="73">
        <v>4</v>
      </c>
      <c r="S73" s="73">
        <f>VLOOKUP(R73,'Transf Sizing Data'!$B$19:$E$26,4,FALSE)</f>
        <v>8</v>
      </c>
      <c r="T73" s="73">
        <f>VLOOKUP(R73,'Transf Sizing Data'!$B$30:$E$37,4,FALSE)</f>
        <v>12.5</v>
      </c>
    </row>
    <row r="74" spans="15:20" hidden="1" x14ac:dyDescent="0.25">
      <c r="O74" s="73" t="s">
        <v>139</v>
      </c>
      <c r="Q74" s="73">
        <f t="shared" si="11"/>
        <v>4400</v>
      </c>
      <c r="R74" s="73">
        <v>4</v>
      </c>
      <c r="S74" s="73">
        <f>VLOOKUP(R74,'Transf Sizing Data'!$B$19:$E$26,4,FALSE)</f>
        <v>8</v>
      </c>
      <c r="T74" s="73">
        <f>VLOOKUP(R74,'Transf Sizing Data'!$B$30:$E$37,4,FALSE)</f>
        <v>12.5</v>
      </c>
    </row>
    <row r="75" spans="15:20" hidden="1" x14ac:dyDescent="0.25">
      <c r="O75" s="73" t="s">
        <v>139</v>
      </c>
      <c r="Q75" s="73">
        <f t="shared" si="11"/>
        <v>4500</v>
      </c>
      <c r="R75" s="73">
        <v>4</v>
      </c>
      <c r="S75" s="73">
        <f>VLOOKUP(R75,'Transf Sizing Data'!$B$19:$E$26,4,FALSE)</f>
        <v>8</v>
      </c>
      <c r="T75" s="73">
        <f>VLOOKUP(R75,'Transf Sizing Data'!$B$30:$E$37,4,FALSE)</f>
        <v>12.5</v>
      </c>
    </row>
    <row r="76" spans="15:20" hidden="1" x14ac:dyDescent="0.25">
      <c r="O76" s="73" t="s">
        <v>139</v>
      </c>
      <c r="Q76" s="73">
        <f t="shared" si="11"/>
        <v>4600</v>
      </c>
      <c r="R76" s="73">
        <v>4</v>
      </c>
      <c r="S76" s="73">
        <f>VLOOKUP(R76,'Transf Sizing Data'!$B$19:$E$26,4,FALSE)</f>
        <v>8</v>
      </c>
      <c r="T76" s="73">
        <f>VLOOKUP(R76,'Transf Sizing Data'!$B$30:$E$37,4,FALSE)</f>
        <v>12.5</v>
      </c>
    </row>
    <row r="77" spans="15:20" hidden="1" x14ac:dyDescent="0.25">
      <c r="O77" s="73" t="s">
        <v>139</v>
      </c>
      <c r="Q77" s="73">
        <f t="shared" si="11"/>
        <v>4700</v>
      </c>
      <c r="R77" s="73">
        <v>4</v>
      </c>
      <c r="S77" s="73">
        <f>VLOOKUP(R77,'Transf Sizing Data'!$B$19:$E$26,4,FALSE)</f>
        <v>8</v>
      </c>
      <c r="T77" s="73">
        <f>VLOOKUP(R77,'Transf Sizing Data'!$B$30:$E$37,4,FALSE)</f>
        <v>12.5</v>
      </c>
    </row>
    <row r="78" spans="15:20" hidden="1" x14ac:dyDescent="0.25">
      <c r="O78" s="73" t="s">
        <v>139</v>
      </c>
      <c r="Q78" s="73">
        <f t="shared" si="11"/>
        <v>4800</v>
      </c>
      <c r="R78" s="73">
        <v>4</v>
      </c>
      <c r="S78" s="73">
        <f>VLOOKUP(R78,'Transf Sizing Data'!$B$19:$E$26,4,FALSE)</f>
        <v>8</v>
      </c>
      <c r="T78" s="73">
        <f>VLOOKUP(R78,'Transf Sizing Data'!$B$30:$E$37,4,FALSE)</f>
        <v>12.5</v>
      </c>
    </row>
    <row r="79" spans="15:20" hidden="1" x14ac:dyDescent="0.25">
      <c r="O79" s="73" t="s">
        <v>139</v>
      </c>
      <c r="Q79" s="73">
        <f t="shared" si="11"/>
        <v>4900</v>
      </c>
      <c r="R79" s="73">
        <v>5</v>
      </c>
      <c r="S79" s="73">
        <f>VLOOKUP(R79,'Transf Sizing Data'!$B$19:$E$26,4,FALSE)</f>
        <v>10</v>
      </c>
      <c r="T79" s="73">
        <f>VLOOKUP(R79,'Transf Sizing Data'!$B$30:$E$37,4,FALSE)</f>
        <v>16</v>
      </c>
    </row>
    <row r="80" spans="15:20" hidden="1" x14ac:dyDescent="0.25">
      <c r="O80" s="73" t="s">
        <v>139</v>
      </c>
      <c r="Q80" s="73">
        <f t="shared" si="11"/>
        <v>5000</v>
      </c>
      <c r="R80" s="73">
        <v>5</v>
      </c>
      <c r="S80" s="73">
        <f>VLOOKUP(R80,'Transf Sizing Data'!$B$19:$E$26,4,FALSE)</f>
        <v>10</v>
      </c>
      <c r="T80" s="73">
        <f>VLOOKUP(R80,'Transf Sizing Data'!$B$30:$E$37,4,FALSE)</f>
        <v>16</v>
      </c>
    </row>
  </sheetData>
  <sheetProtection algorithmName="SHA-512" hashValue="NF/+OuQ4Z+dV/+QqRZeqx3LGTVZWXTf/EzwqlUp/g3et/nbmpDfyXhzLHBVF4UciASRw10Tiox806fhP5Tp19w==" saltValue="wXA5FTMe6trzHcDBFZJ+3g==" spinCount="100000" sheet="1" selectLockedCells="1"/>
  <mergeCells count="12">
    <mergeCell ref="B19:M19"/>
    <mergeCell ref="L4:P5"/>
    <mergeCell ref="L8:L17"/>
    <mergeCell ref="O6:P6"/>
    <mergeCell ref="M6:N6"/>
    <mergeCell ref="B7:C7"/>
    <mergeCell ref="I4:J4"/>
    <mergeCell ref="B24:M24"/>
    <mergeCell ref="B23:M23"/>
    <mergeCell ref="B22:M22"/>
    <mergeCell ref="B21:M21"/>
    <mergeCell ref="B20:M20"/>
  </mergeCells>
  <conditionalFormatting sqref="L8:L17">
    <cfRule type="expression" dxfId="25" priority="2">
      <formula>$S$19&gt;0</formula>
    </cfRule>
  </conditionalFormatting>
  <conditionalFormatting sqref="C8:C17">
    <cfRule type="cellIs" dxfId="24" priority="1" operator="equal">
      <formula>0</formula>
    </cfRule>
  </conditionalFormatting>
  <pageMargins left="0.3" right="0.3" top="0.75" bottom="0.75" header="0.3" footer="0.3"/>
  <pageSetup scale="9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4" r:id="rId4" name="Scroll Bar 70">
              <controlPr locked="0" defaultSize="0" autoPict="0">
                <anchor moveWithCells="1">
                  <from>
                    <xdr:col>12</xdr:col>
                    <xdr:colOff>9525</xdr:colOff>
                    <xdr:row>7</xdr:row>
                    <xdr:rowOff>28575</xdr:rowOff>
                  </from>
                  <to>
                    <xdr:col>12</xdr:col>
                    <xdr:colOff>1019175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Scroll Bar 1">
              <controlPr locked="0" defaultSize="0" autoPict="0">
                <anchor moveWithCells="1">
                  <from>
                    <xdr:col>1</xdr:col>
                    <xdr:colOff>9525</xdr:colOff>
                    <xdr:row>7</xdr:row>
                    <xdr:rowOff>9525</xdr:rowOff>
                  </from>
                  <to>
                    <xdr:col>2</xdr:col>
                    <xdr:colOff>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Scroll Bar 12">
              <controlPr locked="0" defaultSize="0" autoPict="0">
                <anchor moveWithCells="1">
                  <from>
                    <xdr:col>1</xdr:col>
                    <xdr:colOff>9525</xdr:colOff>
                    <xdr:row>8</xdr:row>
                    <xdr:rowOff>9525</xdr:rowOff>
                  </from>
                  <to>
                    <xdr:col>2</xdr:col>
                    <xdr:colOff>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Scroll Bar 13">
              <controlPr locked="0" defaultSize="0" autoPict="0">
                <anchor moveWithCells="1"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2</xdr:col>
                    <xdr:colOff>0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Scroll Bar 14">
              <controlPr locked="0" defaultSize="0" autoPict="0">
                <anchor moveWithCells="1">
                  <from>
                    <xdr:col>1</xdr:col>
                    <xdr:colOff>9525</xdr:colOff>
                    <xdr:row>10</xdr:row>
                    <xdr:rowOff>9525</xdr:rowOff>
                  </from>
                  <to>
                    <xdr:col>2</xdr:col>
                    <xdr:colOff>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Scroll Bar 15">
              <controlPr locked="0" defaultSize="0" autoPict="0">
                <anchor mov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2</xdr:col>
                    <xdr:colOff>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Scroll Bar 16">
              <controlPr locked="0" defaultSize="0" autoPict="0">
                <anchor moveWithCells="1">
                  <from>
                    <xdr:col>1</xdr:col>
                    <xdr:colOff>9525</xdr:colOff>
                    <xdr:row>12</xdr:row>
                    <xdr:rowOff>9525</xdr:rowOff>
                  </from>
                  <to>
                    <xdr:col>2</xdr:col>
                    <xdr:colOff>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Scroll Bar 17">
              <controlPr locked="0" defaultSize="0" autoPict="0">
                <anchor mov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2</xdr:col>
                    <xdr:colOff>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Scroll Bar 18">
              <controlPr locked="0" defaultSize="0" autoPict="0">
                <anchor mov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2</xdr:col>
                    <xdr:colOff>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Scroll Bar 19">
              <controlPr locked="0" defaultSiz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2</xdr:col>
                    <xdr:colOff>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Scroll Bar 20">
              <controlPr locked="0" defaultSiz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2</xdr:col>
                    <xdr:colOff>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5" name="Check Box 56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57150</xdr:rowOff>
                  </from>
                  <to>
                    <xdr:col>6</xdr:col>
                    <xdr:colOff>771525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8</xdr:row>
                    <xdr:rowOff>57150</xdr:rowOff>
                  </from>
                  <to>
                    <xdr:col>6</xdr:col>
                    <xdr:colOff>809625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7" name="Check Box 58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9</xdr:row>
                    <xdr:rowOff>47625</xdr:rowOff>
                  </from>
                  <to>
                    <xdr:col>6</xdr:col>
                    <xdr:colOff>809625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" name="Check Box 59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10</xdr:row>
                    <xdr:rowOff>47625</xdr:rowOff>
                  </from>
                  <to>
                    <xdr:col>6</xdr:col>
                    <xdr:colOff>809625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9" name="Check Box 60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11</xdr:row>
                    <xdr:rowOff>47625</xdr:rowOff>
                  </from>
                  <to>
                    <xdr:col>6</xdr:col>
                    <xdr:colOff>809625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Check Box 62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12</xdr:row>
                    <xdr:rowOff>47625</xdr:rowOff>
                  </from>
                  <to>
                    <xdr:col>6</xdr:col>
                    <xdr:colOff>809625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1" name="Check Box 63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13</xdr:row>
                    <xdr:rowOff>47625</xdr:rowOff>
                  </from>
                  <to>
                    <xdr:col>6</xdr:col>
                    <xdr:colOff>809625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2" name="Check Box 64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14</xdr:row>
                    <xdr:rowOff>47625</xdr:rowOff>
                  </from>
                  <to>
                    <xdr:col>6</xdr:col>
                    <xdr:colOff>809625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3" name="Check Box 65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15</xdr:row>
                    <xdr:rowOff>47625</xdr:rowOff>
                  </from>
                  <to>
                    <xdr:col>6</xdr:col>
                    <xdr:colOff>809625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4" name="Check Box 66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16</xdr:row>
                    <xdr:rowOff>47625</xdr:rowOff>
                  </from>
                  <to>
                    <xdr:col>6</xdr:col>
                    <xdr:colOff>809625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5" name="Scroll Bar 69">
              <controlPr locked="0" defaultSize="0" autoPict="0">
                <anchor moveWithCells="1">
                  <from>
                    <xdr:col>12</xdr:col>
                    <xdr:colOff>9525</xdr:colOff>
                    <xdr:row>7</xdr:row>
                    <xdr:rowOff>28575</xdr:rowOff>
                  </from>
                  <to>
                    <xdr:col>12</xdr:col>
                    <xdr:colOff>1019175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6" name="Scroll Bar 71">
              <controlPr locked="0" defaultSize="0" autoPict="0">
                <anchor moveWithCells="1">
                  <from>
                    <xdr:col>14</xdr:col>
                    <xdr:colOff>9525</xdr:colOff>
                    <xdr:row>7</xdr:row>
                    <xdr:rowOff>28575</xdr:rowOff>
                  </from>
                  <to>
                    <xdr:col>14</xdr:col>
                    <xdr:colOff>1019175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7" name="Scroll Bar 72">
              <controlPr locked="0" defaultSize="0" autoPict="0">
                <anchor moveWithCells="1">
                  <from>
                    <xdr:col>12</xdr:col>
                    <xdr:colOff>9525</xdr:colOff>
                    <xdr:row>8</xdr:row>
                    <xdr:rowOff>28575</xdr:rowOff>
                  </from>
                  <to>
                    <xdr:col>12</xdr:col>
                    <xdr:colOff>1019175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8" name="Scroll Bar 74">
              <controlPr locked="0" defaultSize="0" autoPict="0">
                <anchor moveWithCells="1">
                  <from>
                    <xdr:col>12</xdr:col>
                    <xdr:colOff>9525</xdr:colOff>
                    <xdr:row>9</xdr:row>
                    <xdr:rowOff>28575</xdr:rowOff>
                  </from>
                  <to>
                    <xdr:col>12</xdr:col>
                    <xdr:colOff>1019175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Scroll Bar 75">
              <controlPr locked="0" defaultSize="0" autoPict="0">
                <anchor moveWithCells="1">
                  <from>
                    <xdr:col>12</xdr:col>
                    <xdr:colOff>9525</xdr:colOff>
                    <xdr:row>10</xdr:row>
                    <xdr:rowOff>28575</xdr:rowOff>
                  </from>
                  <to>
                    <xdr:col>12</xdr:col>
                    <xdr:colOff>1019175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Scroll Bar 76">
              <controlPr locked="0" defaultSize="0" autoPict="0">
                <anchor moveWithCells="1">
                  <from>
                    <xdr:col>12</xdr:col>
                    <xdr:colOff>9525</xdr:colOff>
                    <xdr:row>11</xdr:row>
                    <xdr:rowOff>28575</xdr:rowOff>
                  </from>
                  <to>
                    <xdr:col>12</xdr:col>
                    <xdr:colOff>1019175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Scroll Bar 77">
              <controlPr locked="0" defaultSize="0" autoPict="0">
                <anchor moveWithCells="1">
                  <from>
                    <xdr:col>12</xdr:col>
                    <xdr:colOff>9525</xdr:colOff>
                    <xdr:row>12</xdr:row>
                    <xdr:rowOff>28575</xdr:rowOff>
                  </from>
                  <to>
                    <xdr:col>12</xdr:col>
                    <xdr:colOff>1019175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Scroll Bar 78">
              <controlPr locked="0" defaultSize="0" autoPict="0">
                <anchor moveWithCells="1">
                  <from>
                    <xdr:col>12</xdr:col>
                    <xdr:colOff>9525</xdr:colOff>
                    <xdr:row>13</xdr:row>
                    <xdr:rowOff>28575</xdr:rowOff>
                  </from>
                  <to>
                    <xdr:col>12</xdr:col>
                    <xdr:colOff>1019175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3" name="Scroll Bar 79">
              <controlPr locked="0" defaultSize="0" autoPict="0">
                <anchor moveWithCells="1">
                  <from>
                    <xdr:col>12</xdr:col>
                    <xdr:colOff>9525</xdr:colOff>
                    <xdr:row>14</xdr:row>
                    <xdr:rowOff>28575</xdr:rowOff>
                  </from>
                  <to>
                    <xdr:col>12</xdr:col>
                    <xdr:colOff>1019175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Scroll Bar 80">
              <controlPr locked="0" defaultSize="0" autoPict="0">
                <anchor moveWithCells="1">
                  <from>
                    <xdr:col>12</xdr:col>
                    <xdr:colOff>9525</xdr:colOff>
                    <xdr:row>15</xdr:row>
                    <xdr:rowOff>28575</xdr:rowOff>
                  </from>
                  <to>
                    <xdr:col>12</xdr:col>
                    <xdr:colOff>1019175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Scroll Bar 81">
              <controlPr locked="0" defaultSize="0" autoPict="0">
                <anchor moveWithCells="1">
                  <from>
                    <xdr:col>12</xdr:col>
                    <xdr:colOff>9525</xdr:colOff>
                    <xdr:row>16</xdr:row>
                    <xdr:rowOff>28575</xdr:rowOff>
                  </from>
                  <to>
                    <xdr:col>12</xdr:col>
                    <xdr:colOff>1019175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6" name="Scroll Bar 82">
              <controlPr locked="0" defaultSize="0" autoPict="0">
                <anchor moveWithCells="1">
                  <from>
                    <xdr:col>14</xdr:col>
                    <xdr:colOff>9525</xdr:colOff>
                    <xdr:row>8</xdr:row>
                    <xdr:rowOff>28575</xdr:rowOff>
                  </from>
                  <to>
                    <xdr:col>14</xdr:col>
                    <xdr:colOff>1019175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7" name="Scroll Bar 83">
              <controlPr locked="0" defaultSize="0" autoPict="0">
                <anchor moveWithCells="1">
                  <from>
                    <xdr:col>14</xdr:col>
                    <xdr:colOff>9525</xdr:colOff>
                    <xdr:row>9</xdr:row>
                    <xdr:rowOff>28575</xdr:rowOff>
                  </from>
                  <to>
                    <xdr:col>14</xdr:col>
                    <xdr:colOff>1019175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8" name="Scroll Bar 84">
              <controlPr locked="0" defaultSize="0" autoPict="0">
                <anchor moveWithCells="1">
                  <from>
                    <xdr:col>14</xdr:col>
                    <xdr:colOff>9525</xdr:colOff>
                    <xdr:row>10</xdr:row>
                    <xdr:rowOff>28575</xdr:rowOff>
                  </from>
                  <to>
                    <xdr:col>14</xdr:col>
                    <xdr:colOff>1019175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9" name="Scroll Bar 85">
              <controlPr locked="0" defaultSize="0" autoPict="0">
                <anchor moveWithCells="1">
                  <from>
                    <xdr:col>14</xdr:col>
                    <xdr:colOff>9525</xdr:colOff>
                    <xdr:row>11</xdr:row>
                    <xdr:rowOff>28575</xdr:rowOff>
                  </from>
                  <to>
                    <xdr:col>14</xdr:col>
                    <xdr:colOff>1019175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0" name="Scroll Bar 86">
              <controlPr locked="0" defaultSize="0" autoPict="0">
                <anchor moveWithCells="1">
                  <from>
                    <xdr:col>14</xdr:col>
                    <xdr:colOff>9525</xdr:colOff>
                    <xdr:row>12</xdr:row>
                    <xdr:rowOff>28575</xdr:rowOff>
                  </from>
                  <to>
                    <xdr:col>14</xdr:col>
                    <xdr:colOff>1019175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1" name="Scroll Bar 87">
              <controlPr locked="0" defaultSize="0" autoPict="0">
                <anchor moveWithCells="1">
                  <from>
                    <xdr:col>14</xdr:col>
                    <xdr:colOff>9525</xdr:colOff>
                    <xdr:row>13</xdr:row>
                    <xdr:rowOff>28575</xdr:rowOff>
                  </from>
                  <to>
                    <xdr:col>14</xdr:col>
                    <xdr:colOff>1019175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2" name="Scroll Bar 88">
              <controlPr locked="0" defaultSize="0" autoPict="0">
                <anchor moveWithCells="1">
                  <from>
                    <xdr:col>14</xdr:col>
                    <xdr:colOff>9525</xdr:colOff>
                    <xdr:row>14</xdr:row>
                    <xdr:rowOff>28575</xdr:rowOff>
                  </from>
                  <to>
                    <xdr:col>14</xdr:col>
                    <xdr:colOff>1019175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3" name="Scroll Bar 89">
              <controlPr locked="0" defaultSize="0" autoPict="0">
                <anchor moveWithCells="1">
                  <from>
                    <xdr:col>14</xdr:col>
                    <xdr:colOff>9525</xdr:colOff>
                    <xdr:row>15</xdr:row>
                    <xdr:rowOff>28575</xdr:rowOff>
                  </from>
                  <to>
                    <xdr:col>14</xdr:col>
                    <xdr:colOff>1019175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4" name="Scroll Bar 90">
              <controlPr locked="0" defaultSize="0" autoPict="0">
                <anchor moveWithCells="1">
                  <from>
                    <xdr:col>14</xdr:col>
                    <xdr:colOff>9525</xdr:colOff>
                    <xdr:row>16</xdr:row>
                    <xdr:rowOff>28575</xdr:rowOff>
                  </from>
                  <to>
                    <xdr:col>14</xdr:col>
                    <xdr:colOff>1019175</xdr:colOff>
                    <xdr:row>16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B3:AD27"/>
  <sheetViews>
    <sheetView showGridLines="0" zoomScaleNormal="100" zoomScaleSheetLayoutView="100" workbookViewId="0">
      <selection activeCell="D6" sqref="D6:E6"/>
    </sheetView>
  </sheetViews>
  <sheetFormatPr defaultRowHeight="15" x14ac:dyDescent="0.25"/>
  <cols>
    <col min="1" max="1" width="9.140625" style="224"/>
    <col min="2" max="5" width="9.7109375" style="224" customWidth="1"/>
    <col min="6" max="7" width="9.140625" style="224"/>
    <col min="8" max="8" width="11.140625" style="224" customWidth="1"/>
    <col min="9" max="11" width="9.140625" style="224"/>
    <col min="12" max="12" width="9.140625" style="224" customWidth="1"/>
    <col min="13" max="13" width="9.140625" style="224" hidden="1" customWidth="1"/>
    <col min="14" max="14" width="12.7109375" style="224" hidden="1" customWidth="1"/>
    <col min="15" max="30" width="9.140625" style="224" hidden="1" customWidth="1"/>
    <col min="31" max="16384" width="9.140625" style="224"/>
  </cols>
  <sheetData>
    <row r="3" spans="2:28" ht="15.75" thickBot="1" x14ac:dyDescent="0.3"/>
    <row r="4" spans="2:28" ht="16.5" thickBot="1" x14ac:dyDescent="0.3">
      <c r="N4" s="283"/>
      <c r="O4" s="363" t="s">
        <v>104</v>
      </c>
      <c r="P4" s="364"/>
      <c r="Q4" s="364"/>
      <c r="R4" s="364"/>
      <c r="S4" s="364"/>
      <c r="T4" s="364"/>
      <c r="U4" s="364"/>
      <c r="V4" s="365"/>
      <c r="W4" s="284"/>
      <c r="X4" s="285" t="s">
        <v>153</v>
      </c>
      <c r="Y4" s="286">
        <v>0.24</v>
      </c>
      <c r="Z4" s="284"/>
      <c r="AA4" s="284"/>
      <c r="AB4" s="284"/>
    </row>
    <row r="5" spans="2:28" ht="15.75" thickBot="1" x14ac:dyDescent="0.3">
      <c r="G5" s="357" t="s">
        <v>179</v>
      </c>
      <c r="H5" s="358"/>
      <c r="I5" s="358"/>
      <c r="J5" s="359"/>
      <c r="N5" s="287"/>
      <c r="O5" s="288">
        <v>10</v>
      </c>
      <c r="P5" s="289">
        <v>15</v>
      </c>
      <c r="Q5" s="289">
        <v>25</v>
      </c>
      <c r="R5" s="289">
        <v>37.5</v>
      </c>
      <c r="S5" s="289">
        <v>50</v>
      </c>
      <c r="T5" s="289">
        <v>75</v>
      </c>
      <c r="U5" s="289">
        <v>100</v>
      </c>
      <c r="V5" s="290">
        <v>167</v>
      </c>
      <c r="W5" s="284"/>
      <c r="X5" s="284"/>
      <c r="Y5" s="284"/>
      <c r="Z5" s="284"/>
      <c r="AA5" s="284"/>
      <c r="AB5" s="284"/>
    </row>
    <row r="6" spans="2:28" ht="18.75" thickBot="1" x14ac:dyDescent="0.4">
      <c r="B6" s="360" t="s">
        <v>178</v>
      </c>
      <c r="C6" s="360"/>
      <c r="D6" s="379">
        <f>IFERROR(AA8,"")</f>
        <v>10</v>
      </c>
      <c r="E6" s="380"/>
      <c r="G6" s="265" t="s">
        <v>155</v>
      </c>
      <c r="H6" s="266">
        <f>IFERROR(HLOOKUP($D$6,$O$5:$V$11,7),"")</f>
        <v>2.0963137289060532</v>
      </c>
      <c r="I6" s="265" t="s">
        <v>177</v>
      </c>
      <c r="J6" s="266">
        <f>IFERROR(J7/H7,"")</f>
        <v>0.5</v>
      </c>
      <c r="N6" s="291" t="s">
        <v>149</v>
      </c>
      <c r="O6" s="292">
        <v>0.108</v>
      </c>
      <c r="P6" s="293">
        <v>6.4000000000000001E-2</v>
      </c>
      <c r="Q6" s="293">
        <v>3.1E-2</v>
      </c>
      <c r="R6" s="293">
        <v>1.9E-2</v>
      </c>
      <c r="S6" s="293">
        <v>1.0999999999999999E-2</v>
      </c>
      <c r="T6" s="293">
        <v>7.0000000000000001E-3</v>
      </c>
      <c r="U6" s="293">
        <v>5.0000000000000001E-3</v>
      </c>
      <c r="V6" s="294">
        <v>3.0000000000000001E-3</v>
      </c>
      <c r="W6" s="284"/>
      <c r="X6" s="369" t="s">
        <v>157</v>
      </c>
      <c r="Y6" s="369"/>
      <c r="Z6" s="369"/>
      <c r="AA6" s="369"/>
      <c r="AB6" s="369"/>
    </row>
    <row r="7" spans="2:28" ht="18.75" thickBot="1" x14ac:dyDescent="0.4">
      <c r="G7" s="265" t="s">
        <v>149</v>
      </c>
      <c r="H7" s="266">
        <f>IFERROR(HLOOKUP($D$6,$O$5:$V$11,2),"")</f>
        <v>0.108</v>
      </c>
      <c r="I7" s="265" t="s">
        <v>150</v>
      </c>
      <c r="J7" s="266">
        <f>IFERROR(HLOOKUP($D$6,$O$5:$V$11,3),"")</f>
        <v>5.3999999999999999E-2</v>
      </c>
      <c r="N7" s="295" t="s">
        <v>150</v>
      </c>
      <c r="O7" s="296">
        <v>5.3999999999999999E-2</v>
      </c>
      <c r="P7" s="297">
        <v>3.5000000000000003E-2</v>
      </c>
      <c r="Q7" s="297">
        <v>2.8000000000000001E-2</v>
      </c>
      <c r="R7" s="297">
        <v>0.02</v>
      </c>
      <c r="S7" s="297">
        <v>1.6E-2</v>
      </c>
      <c r="T7" s="297">
        <v>0.01</v>
      </c>
      <c r="U7" s="297">
        <v>8.9999999999999993E-3</v>
      </c>
      <c r="V7" s="298">
        <v>6.0000000000000001E-3</v>
      </c>
      <c r="W7" s="284"/>
      <c r="X7" s="284" t="s">
        <v>189</v>
      </c>
      <c r="Y7" s="284"/>
      <c r="Z7" s="284"/>
      <c r="AA7" s="284"/>
      <c r="AB7" s="284"/>
    </row>
    <row r="8" spans="2:28" ht="18" customHeight="1" thickBot="1" x14ac:dyDescent="0.4">
      <c r="G8" s="355" t="s">
        <v>190</v>
      </c>
      <c r="H8" s="355"/>
      <c r="I8" s="382">
        <f>IFERROR(HLOOKUP($D$6,$O$5:$V$12,8),"")</f>
        <v>187.50000000000003</v>
      </c>
      <c r="J8" s="382"/>
      <c r="N8" s="299" t="s">
        <v>151</v>
      </c>
      <c r="O8" s="300">
        <f>SQRT((O6^2)+(O7^2))</f>
        <v>0.12074767078498864</v>
      </c>
      <c r="P8" s="301">
        <f t="shared" ref="P8:V8" si="0">SQRT((P6^2)+(P7^2))</f>
        <v>7.2945184899347537E-2</v>
      </c>
      <c r="Q8" s="301">
        <f t="shared" si="0"/>
        <v>4.1773197148410844E-2</v>
      </c>
      <c r="R8" s="301">
        <f t="shared" si="0"/>
        <v>2.7586228448267441E-2</v>
      </c>
      <c r="S8" s="301">
        <f t="shared" si="0"/>
        <v>1.9416487838947599E-2</v>
      </c>
      <c r="T8" s="301">
        <f t="shared" si="0"/>
        <v>1.2206555615733704E-2</v>
      </c>
      <c r="U8" s="301">
        <f t="shared" si="0"/>
        <v>1.0295630140987E-2</v>
      </c>
      <c r="V8" s="302">
        <f t="shared" si="0"/>
        <v>6.7082039324993696E-3</v>
      </c>
      <c r="W8" s="284"/>
      <c r="X8" s="378" t="s">
        <v>183</v>
      </c>
      <c r="Y8" s="378"/>
      <c r="Z8" s="284">
        <v>1</v>
      </c>
      <c r="AA8" s="284">
        <f>INDEX('Step 3 - Calculator'!AG29:AG36,'Step 2 - Transformer Sizing'!Z8)</f>
        <v>10</v>
      </c>
      <c r="AB8" s="284"/>
    </row>
    <row r="9" spans="2:28" x14ac:dyDescent="0.25">
      <c r="N9" s="303" t="s">
        <v>152</v>
      </c>
      <c r="O9" s="304">
        <f>O$6*O$5/(10*($Y$4)^2)</f>
        <v>1.8750000000000002</v>
      </c>
      <c r="P9" s="304">
        <f t="shared" ref="P9:V9" si="1">P$6*P$5/(10*($Y$4)^2)</f>
        <v>1.6666666666666667</v>
      </c>
      <c r="Q9" s="304">
        <f t="shared" si="1"/>
        <v>1.3454861111111112</v>
      </c>
      <c r="R9" s="304">
        <f t="shared" si="1"/>
        <v>1.2369791666666667</v>
      </c>
      <c r="S9" s="304">
        <f t="shared" si="1"/>
        <v>0.95486111111111105</v>
      </c>
      <c r="T9" s="304">
        <f t="shared" si="1"/>
        <v>0.91145833333333348</v>
      </c>
      <c r="U9" s="304">
        <f t="shared" si="1"/>
        <v>0.86805555555555558</v>
      </c>
      <c r="V9" s="305">
        <f t="shared" si="1"/>
        <v>0.86979166666666674</v>
      </c>
      <c r="W9" s="284"/>
      <c r="X9" s="284"/>
      <c r="Y9" s="284"/>
      <c r="Z9" s="284"/>
      <c r="AA9" s="284"/>
      <c r="AB9" s="284"/>
    </row>
    <row r="10" spans="2:28" x14ac:dyDescent="0.25">
      <c r="B10" s="381" t="str">
        <f>IF(ISBLANK(Z8),"Please Select Transformer Size",IF(NOT(P15),"If you would like to use different impedance values, select the box next to ""USER INPUT."" Otherwise, please continue to Step 3 - Calculator",IF(OR(ISBLANK(D16),ISBLANK(D17),ISBLANK(#REF!)),"Please enter values to calculate user defined impedance","")))</f>
        <v>If you would like to use different impedance values, select the box next to "USER INPUT." Otherwise, please continue to Step 3 - Calculator</v>
      </c>
      <c r="C10" s="381"/>
      <c r="D10" s="381"/>
      <c r="E10" s="381"/>
      <c r="N10" s="303" t="s">
        <v>154</v>
      </c>
      <c r="O10" s="304">
        <f t="shared" ref="O10:V10" si="2">O$7*O$5/(10*($Y$4)^2)</f>
        <v>0.93750000000000011</v>
      </c>
      <c r="P10" s="306">
        <f t="shared" si="2"/>
        <v>0.91145833333333348</v>
      </c>
      <c r="Q10" s="306">
        <f t="shared" si="2"/>
        <v>1.2152777777777779</v>
      </c>
      <c r="R10" s="306">
        <f t="shared" si="2"/>
        <v>1.3020833333333335</v>
      </c>
      <c r="S10" s="306">
        <f t="shared" si="2"/>
        <v>1.3888888888888891</v>
      </c>
      <c r="T10" s="306">
        <f t="shared" si="2"/>
        <v>1.3020833333333335</v>
      </c>
      <c r="U10" s="306">
        <f t="shared" si="2"/>
        <v>1.5625</v>
      </c>
      <c r="V10" s="305">
        <f t="shared" si="2"/>
        <v>1.7395833333333335</v>
      </c>
      <c r="W10" s="284"/>
      <c r="X10" s="284"/>
      <c r="Y10" s="284"/>
      <c r="Z10" s="284"/>
      <c r="AA10" s="284"/>
      <c r="AB10" s="284"/>
    </row>
    <row r="11" spans="2:28" x14ac:dyDescent="0.25">
      <c r="B11" s="381"/>
      <c r="C11" s="381"/>
      <c r="D11" s="381"/>
      <c r="E11" s="381"/>
      <c r="N11" s="307" t="s">
        <v>155</v>
      </c>
      <c r="O11" s="300">
        <f t="shared" ref="O11:V11" si="3">O$8*O$5/(10*($Y$4)^2)</f>
        <v>2.0963137289060532</v>
      </c>
      <c r="P11" s="301">
        <f t="shared" si="3"/>
        <v>1.8996141900871755</v>
      </c>
      <c r="Q11" s="301">
        <f t="shared" si="3"/>
        <v>1.8130727928997765</v>
      </c>
      <c r="R11" s="301">
        <f t="shared" si="3"/>
        <v>1.7959784146007449</v>
      </c>
      <c r="S11" s="301">
        <f t="shared" si="3"/>
        <v>1.6854590137975347</v>
      </c>
      <c r="T11" s="301">
        <f t="shared" si="3"/>
        <v>1.5893952624653263</v>
      </c>
      <c r="U11" s="301">
        <f t="shared" si="3"/>
        <v>1.7874357883657988</v>
      </c>
      <c r="V11" s="302">
        <f t="shared" si="3"/>
        <v>1.9449132929295048</v>
      </c>
      <c r="W11" s="284"/>
      <c r="X11" s="284"/>
      <c r="Y11" s="284"/>
      <c r="Z11" s="284"/>
      <c r="AA11" s="284"/>
      <c r="AB11" s="284"/>
    </row>
    <row r="12" spans="2:28" ht="15.75" thickBot="1" x14ac:dyDescent="0.3">
      <c r="B12" s="381"/>
      <c r="C12" s="381"/>
      <c r="D12" s="381"/>
      <c r="E12" s="381"/>
      <c r="N12" s="308" t="s">
        <v>187</v>
      </c>
      <c r="O12" s="309">
        <f t="shared" ref="O12:V12" si="4">10*O5*O9</f>
        <v>187.50000000000003</v>
      </c>
      <c r="P12" s="310">
        <f t="shared" si="4"/>
        <v>250</v>
      </c>
      <c r="Q12" s="310">
        <f t="shared" si="4"/>
        <v>336.37152777777777</v>
      </c>
      <c r="R12" s="310">
        <f t="shared" si="4"/>
        <v>463.8671875</v>
      </c>
      <c r="S12" s="310">
        <f t="shared" si="4"/>
        <v>477.43055555555554</v>
      </c>
      <c r="T12" s="310">
        <f t="shared" si="4"/>
        <v>683.59375000000011</v>
      </c>
      <c r="U12" s="310">
        <f t="shared" si="4"/>
        <v>868.05555555555554</v>
      </c>
      <c r="V12" s="311">
        <f t="shared" si="4"/>
        <v>1452.5520833333335</v>
      </c>
      <c r="W12" s="284"/>
      <c r="X12" s="284"/>
      <c r="Y12" s="284"/>
      <c r="Z12" s="284"/>
      <c r="AA12" s="284"/>
      <c r="AB12" s="284"/>
    </row>
    <row r="13" spans="2:28" x14ac:dyDescent="0.25">
      <c r="B13" s="381"/>
      <c r="C13" s="381"/>
      <c r="D13" s="381"/>
      <c r="E13" s="381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312"/>
      <c r="Y13" s="312"/>
      <c r="Z13" s="284"/>
      <c r="AA13" s="312"/>
      <c r="AB13" s="312"/>
    </row>
    <row r="14" spans="2:28" ht="15.75" thickBot="1" x14ac:dyDescent="0.3">
      <c r="I14" s="273"/>
      <c r="J14" s="273"/>
      <c r="N14" s="284"/>
      <c r="O14" s="284"/>
      <c r="P14" s="284"/>
      <c r="Q14" s="312"/>
      <c r="R14" s="312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</row>
    <row r="15" spans="2:28" ht="15.75" thickBot="1" x14ac:dyDescent="0.3">
      <c r="B15" s="366" t="s">
        <v>156</v>
      </c>
      <c r="C15" s="367"/>
      <c r="D15" s="367"/>
      <c r="E15" s="368"/>
      <c r="G15" s="357" t="s">
        <v>186</v>
      </c>
      <c r="H15" s="358"/>
      <c r="I15" s="358"/>
      <c r="J15" s="359"/>
      <c r="L15" s="230"/>
      <c r="M15" s="230"/>
      <c r="N15" s="312" t="s">
        <v>181</v>
      </c>
      <c r="O15" s="312"/>
      <c r="P15" s="312" t="b">
        <v>0</v>
      </c>
      <c r="Q15" s="312"/>
      <c r="R15" s="312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</row>
    <row r="16" spans="2:28" ht="15.75" thickBot="1" x14ac:dyDescent="0.3">
      <c r="B16" s="370" t="s">
        <v>155</v>
      </c>
      <c r="C16" s="371"/>
      <c r="D16" s="376"/>
      <c r="E16" s="377"/>
      <c r="G16" s="265" t="s">
        <v>155</v>
      </c>
      <c r="H16" s="266" t="str">
        <f>IF(OR(ISBLANK(D17),ISBLANK(D16)),"",P17)</f>
        <v/>
      </c>
      <c r="I16" s="265" t="s">
        <v>177</v>
      </c>
      <c r="J16" s="225" t="str">
        <f>IF(OR(ISBLANK(D17),ISBLANK(D16)),"",R23/R22)</f>
        <v/>
      </c>
      <c r="L16" s="230"/>
      <c r="M16" s="230"/>
      <c r="N16" s="361" t="s">
        <v>180</v>
      </c>
      <c r="O16" s="361"/>
      <c r="P16" s="361"/>
      <c r="Q16" s="361"/>
      <c r="R16" s="312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</row>
    <row r="17" spans="2:28" ht="18.75" thickBot="1" x14ac:dyDescent="0.4">
      <c r="B17" s="372" t="s">
        <v>191</v>
      </c>
      <c r="C17" s="373"/>
      <c r="D17" s="374"/>
      <c r="E17" s="375"/>
      <c r="F17" s="280"/>
      <c r="G17" s="265" t="s">
        <v>149</v>
      </c>
      <c r="H17" s="266" t="str">
        <f>IF(OR(ISBLANK(D17),ISBLANK(D16)),"",R22)</f>
        <v/>
      </c>
      <c r="I17" s="265" t="s">
        <v>150</v>
      </c>
      <c r="J17" s="266" t="str">
        <f>IF(OR(ISBLANK(D17),ISBLANK(D16)),"",R23)</f>
        <v/>
      </c>
      <c r="L17" s="230"/>
      <c r="M17" s="230"/>
      <c r="N17" s="312" t="s">
        <v>155</v>
      </c>
      <c r="O17" s="284"/>
      <c r="P17" s="312">
        <f>D16</f>
        <v>0</v>
      </c>
      <c r="Q17" s="312"/>
      <c r="R17" s="312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</row>
    <row r="18" spans="2:28" ht="15.75" thickBot="1" x14ac:dyDescent="0.3">
      <c r="B18" s="362" t="str">
        <f>IF(AND(ISERROR(O23),NOT(AND(ISBLANK(D16),ISBLANK(D17)))),IF(NOT(ISBLANK(D6)),"Invalid User Input",""),"")</f>
        <v/>
      </c>
      <c r="C18" s="362"/>
      <c r="D18" s="362"/>
      <c r="E18" s="362"/>
      <c r="G18" s="355" t="s">
        <v>190</v>
      </c>
      <c r="H18" s="355"/>
      <c r="I18" s="356" t="str">
        <f>IF(OR(ISBLANK(D17),ISBLANK(D16)),"",P18)</f>
        <v/>
      </c>
      <c r="J18" s="356"/>
      <c r="L18" s="230"/>
      <c r="M18" s="230"/>
      <c r="N18" s="312" t="s">
        <v>182</v>
      </c>
      <c r="O18" s="284"/>
      <c r="P18" s="312">
        <f>D17</f>
        <v>0</v>
      </c>
      <c r="Q18" s="312"/>
      <c r="R18" s="312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</row>
    <row r="19" spans="2:28" x14ac:dyDescent="0.25">
      <c r="L19" s="230"/>
      <c r="M19" s="230"/>
      <c r="N19" s="312"/>
      <c r="O19" s="312"/>
      <c r="P19" s="312"/>
      <c r="Q19" s="312"/>
      <c r="R19" s="312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</row>
    <row r="20" spans="2:28" x14ac:dyDescent="0.25">
      <c r="L20" s="230"/>
      <c r="M20" s="230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</row>
    <row r="21" spans="2:28" x14ac:dyDescent="0.25">
      <c r="L21" s="230"/>
      <c r="M21" s="230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</row>
    <row r="22" spans="2:28" ht="18" x14ac:dyDescent="0.35">
      <c r="L22" s="230"/>
      <c r="M22" s="230"/>
      <c r="N22" s="312" t="s">
        <v>152</v>
      </c>
      <c r="O22" s="284">
        <f>P18/(10*D6)</f>
        <v>0</v>
      </c>
      <c r="P22" s="313"/>
      <c r="Q22" s="312" t="s">
        <v>149</v>
      </c>
      <c r="R22" s="314">
        <f>O22*10*Y4^2/D6</f>
        <v>0</v>
      </c>
      <c r="S22" s="284"/>
      <c r="T22" s="284"/>
      <c r="U22" s="284"/>
      <c r="V22" s="284"/>
      <c r="W22" s="284"/>
      <c r="X22" s="284"/>
      <c r="Y22" s="284"/>
      <c r="Z22" s="284"/>
      <c r="AA22" s="284"/>
      <c r="AB22" s="284"/>
    </row>
    <row r="23" spans="2:28" ht="18" x14ac:dyDescent="0.35">
      <c r="L23" s="230"/>
      <c r="M23" s="230"/>
      <c r="N23" s="313" t="s">
        <v>154</v>
      </c>
      <c r="O23" s="284">
        <f>(P17^2-O22^2)^0.5</f>
        <v>0</v>
      </c>
      <c r="P23" s="313"/>
      <c r="Q23" s="312" t="s">
        <v>150</v>
      </c>
      <c r="R23" s="314">
        <f>O23*10*Y4^2/D6</f>
        <v>0</v>
      </c>
      <c r="S23" s="284"/>
      <c r="T23" s="284"/>
      <c r="U23" s="284"/>
      <c r="V23" s="284"/>
      <c r="W23" s="284"/>
      <c r="X23" s="284"/>
      <c r="Y23" s="284"/>
      <c r="Z23" s="284"/>
      <c r="AA23" s="284"/>
      <c r="AB23" s="284"/>
    </row>
    <row r="24" spans="2:28" x14ac:dyDescent="0.25">
      <c r="P24" s="230"/>
    </row>
    <row r="25" spans="2:28" x14ac:dyDescent="0.25">
      <c r="P25" s="230"/>
    </row>
    <row r="26" spans="2:28" x14ac:dyDescent="0.25">
      <c r="C26" s="231"/>
      <c r="D26" s="231"/>
      <c r="E26" s="231"/>
      <c r="F26" s="231"/>
      <c r="G26" s="231"/>
      <c r="H26" s="231"/>
      <c r="I26" s="231"/>
      <c r="J26" s="231"/>
    </row>
    <row r="27" spans="2:28" x14ac:dyDescent="0.25">
      <c r="C27" s="230"/>
      <c r="D27" s="230"/>
      <c r="E27" s="230"/>
      <c r="F27" s="230"/>
      <c r="G27" s="230"/>
      <c r="H27" s="230"/>
      <c r="I27" s="230"/>
      <c r="J27" s="230"/>
    </row>
  </sheetData>
  <sheetProtection algorithmName="SHA-512" hashValue="Mo5cgU15KxX4lpTY9HuRlDvNiP/dQt+RWPFwrs5dtX4DGHCgSB8zX4ETZ7nQ1usUgsJL19jruiz2HKwO28UZMw==" saltValue="R4GcDx5LJ0M4ucFvx1xlCw==" spinCount="100000" sheet="1" selectLockedCells="1"/>
  <mergeCells count="19">
    <mergeCell ref="O4:V4"/>
    <mergeCell ref="B15:E15"/>
    <mergeCell ref="X6:AB6"/>
    <mergeCell ref="B16:C16"/>
    <mergeCell ref="B17:C17"/>
    <mergeCell ref="D17:E17"/>
    <mergeCell ref="D16:E16"/>
    <mergeCell ref="X8:Y8"/>
    <mergeCell ref="D6:E6"/>
    <mergeCell ref="B10:E13"/>
    <mergeCell ref="G8:H8"/>
    <mergeCell ref="I8:J8"/>
    <mergeCell ref="G5:J5"/>
    <mergeCell ref="G18:H18"/>
    <mergeCell ref="I18:J18"/>
    <mergeCell ref="G15:J15"/>
    <mergeCell ref="B6:C6"/>
    <mergeCell ref="N16:Q16"/>
    <mergeCell ref="B18:E18"/>
  </mergeCells>
  <conditionalFormatting sqref="H6:H7 J6:J7 I8">
    <cfRule type="expression" dxfId="23" priority="11">
      <formula>NOT($P$15)</formula>
    </cfRule>
  </conditionalFormatting>
  <conditionalFormatting sqref="B10">
    <cfRule type="notContainsBlanks" dxfId="22" priority="12">
      <formula>LEN(TRIM(B10))&gt;0</formula>
    </cfRule>
  </conditionalFormatting>
  <conditionalFormatting sqref="B15:E15">
    <cfRule type="expression" dxfId="21" priority="9">
      <formula>$B$10="If you would like to use different impedance values, select the box next to ""USER INPUT."" Otherwise, please continue to Step 3 - Calculator"</formula>
    </cfRule>
  </conditionalFormatting>
  <conditionalFormatting sqref="D16:E17">
    <cfRule type="expression" dxfId="20" priority="5">
      <formula>NOT(AND(ISBLANK($D$16),ISBLANK($D$17)))</formula>
    </cfRule>
    <cfRule type="expression" dxfId="19" priority="8">
      <formula>$B$10="Please enter values to calculate user defined impedance"</formula>
    </cfRule>
  </conditionalFormatting>
  <conditionalFormatting sqref="H16:H17 J16:J17 I18">
    <cfRule type="expression" dxfId="18" priority="7">
      <formula>$P$15</formula>
    </cfRule>
  </conditionalFormatting>
  <conditionalFormatting sqref="B18:E18 D16:E17">
    <cfRule type="expression" dxfId="17" priority="1">
      <formula>$B$18="Invalid User Input"</formula>
    </cfRule>
  </conditionalFormatting>
  <dataValidations count="1">
    <dataValidation type="decimal" errorStyle="warning" operator="greaterThanOrEqual" allowBlank="1" showInputMessage="1" showErrorMessage="1" errorTitle="Input Error" error="Please input a value greater than 0." sqref="D16:E17" xr:uid="{8E31A7C4-437F-4517-89F6-D5A2619E5612}">
      <formula1>0</formula1>
    </dataValidation>
  </dataValidations>
  <pageMargins left="0.7" right="0.7" top="0.75" bottom="0.75" header="0.3" footer="0.3"/>
  <pageSetup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3</xdr:col>
                    <xdr:colOff>9525</xdr:colOff>
                    <xdr:row>5</xdr:row>
                    <xdr:rowOff>9525</xdr:rowOff>
                  </from>
                  <to>
                    <xdr:col>4</xdr:col>
                    <xdr:colOff>628650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190500</xdr:rowOff>
                  </from>
                  <to>
                    <xdr:col>3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W582"/>
  <sheetViews>
    <sheetView showGridLines="0" zoomScale="70" zoomScaleNormal="70" zoomScaleSheetLayoutView="100" zoomScalePageLayoutView="106" workbookViewId="0">
      <selection activeCell="P1" sqref="P1"/>
    </sheetView>
  </sheetViews>
  <sheetFormatPr defaultColWidth="8.7109375" defaultRowHeight="14.25" x14ac:dyDescent="0.2"/>
  <cols>
    <col min="1" max="1" width="2.42578125" style="179" customWidth="1"/>
    <col min="2" max="14" width="10.140625" style="179" customWidth="1"/>
    <col min="15" max="15" width="10.5703125" style="179" customWidth="1"/>
    <col min="16" max="16" width="8.85546875" style="179" customWidth="1"/>
    <col min="17" max="20" width="8.85546875" style="179" hidden="1" customWidth="1"/>
    <col min="21" max="23" width="12.85546875" style="179" hidden="1" customWidth="1"/>
    <col min="24" max="31" width="8.7109375" style="179" hidden="1" customWidth="1"/>
    <col min="32" max="32" width="6.42578125" style="179" hidden="1" customWidth="1"/>
    <col min="33" max="40" width="8.7109375" style="179" hidden="1" customWidth="1"/>
    <col min="41" max="41" width="9.42578125" style="179" hidden="1" customWidth="1"/>
    <col min="42" max="49" width="8.7109375" style="179" hidden="1" customWidth="1"/>
    <col min="50" max="55" width="9.140625" style="180" hidden="1" customWidth="1"/>
    <col min="56" max="65" width="9.140625" style="180" customWidth="1"/>
    <col min="66" max="75" width="9.140625" style="180"/>
    <col min="76" max="267" width="8.7109375" style="179"/>
    <col min="268" max="281" width="10.140625" style="179" customWidth="1"/>
    <col min="282" max="282" width="8.85546875" style="179" customWidth="1"/>
    <col min="283" max="283" width="8.140625" style="179" customWidth="1"/>
    <col min="284" max="327" width="0" style="179" hidden="1" customWidth="1"/>
    <col min="328" max="523" width="8.7109375" style="179"/>
    <col min="524" max="537" width="10.140625" style="179" customWidth="1"/>
    <col min="538" max="538" width="8.85546875" style="179" customWidth="1"/>
    <col min="539" max="539" width="8.140625" style="179" customWidth="1"/>
    <col min="540" max="583" width="0" style="179" hidden="1" customWidth="1"/>
    <col min="584" max="779" width="8.7109375" style="179"/>
    <col min="780" max="793" width="10.140625" style="179" customWidth="1"/>
    <col min="794" max="794" width="8.85546875" style="179" customWidth="1"/>
    <col min="795" max="795" width="8.140625" style="179" customWidth="1"/>
    <col min="796" max="839" width="0" style="179" hidden="1" customWidth="1"/>
    <col min="840" max="1035" width="8.7109375" style="179"/>
    <col min="1036" max="1049" width="10.140625" style="179" customWidth="1"/>
    <col min="1050" max="1050" width="8.85546875" style="179" customWidth="1"/>
    <col min="1051" max="1051" width="8.140625" style="179" customWidth="1"/>
    <col min="1052" max="1095" width="0" style="179" hidden="1" customWidth="1"/>
    <col min="1096" max="1291" width="8.7109375" style="179"/>
    <col min="1292" max="1305" width="10.140625" style="179" customWidth="1"/>
    <col min="1306" max="1306" width="8.85546875" style="179" customWidth="1"/>
    <col min="1307" max="1307" width="8.140625" style="179" customWidth="1"/>
    <col min="1308" max="1351" width="0" style="179" hidden="1" customWidth="1"/>
    <col min="1352" max="1547" width="8.7109375" style="179"/>
    <col min="1548" max="1561" width="10.140625" style="179" customWidth="1"/>
    <col min="1562" max="1562" width="8.85546875" style="179" customWidth="1"/>
    <col min="1563" max="1563" width="8.140625" style="179" customWidth="1"/>
    <col min="1564" max="1607" width="0" style="179" hidden="1" customWidth="1"/>
    <col min="1608" max="1803" width="8.7109375" style="179"/>
    <col min="1804" max="1817" width="10.140625" style="179" customWidth="1"/>
    <col min="1818" max="1818" width="8.85546875" style="179" customWidth="1"/>
    <col min="1819" max="1819" width="8.140625" style="179" customWidth="1"/>
    <col min="1820" max="1863" width="0" style="179" hidden="1" customWidth="1"/>
    <col min="1864" max="2059" width="8.7109375" style="179"/>
    <col min="2060" max="2073" width="10.140625" style="179" customWidth="1"/>
    <col min="2074" max="2074" width="8.85546875" style="179" customWidth="1"/>
    <col min="2075" max="2075" width="8.140625" style="179" customWidth="1"/>
    <col min="2076" max="2119" width="0" style="179" hidden="1" customWidth="1"/>
    <col min="2120" max="2315" width="8.7109375" style="179"/>
    <col min="2316" max="2329" width="10.140625" style="179" customWidth="1"/>
    <col min="2330" max="2330" width="8.85546875" style="179" customWidth="1"/>
    <col min="2331" max="2331" width="8.140625" style="179" customWidth="1"/>
    <col min="2332" max="2375" width="0" style="179" hidden="1" customWidth="1"/>
    <col min="2376" max="2571" width="8.7109375" style="179"/>
    <col min="2572" max="2585" width="10.140625" style="179" customWidth="1"/>
    <col min="2586" max="2586" width="8.85546875" style="179" customWidth="1"/>
    <col min="2587" max="2587" width="8.140625" style="179" customWidth="1"/>
    <col min="2588" max="2631" width="0" style="179" hidden="1" customWidth="1"/>
    <col min="2632" max="2827" width="8.7109375" style="179"/>
    <col min="2828" max="2841" width="10.140625" style="179" customWidth="1"/>
    <col min="2842" max="2842" width="8.85546875" style="179" customWidth="1"/>
    <col min="2843" max="2843" width="8.140625" style="179" customWidth="1"/>
    <col min="2844" max="2887" width="0" style="179" hidden="1" customWidth="1"/>
    <col min="2888" max="3083" width="8.7109375" style="179"/>
    <col min="3084" max="3097" width="10.140625" style="179" customWidth="1"/>
    <col min="3098" max="3098" width="8.85546875" style="179" customWidth="1"/>
    <col min="3099" max="3099" width="8.140625" style="179" customWidth="1"/>
    <col min="3100" max="3143" width="0" style="179" hidden="1" customWidth="1"/>
    <col min="3144" max="3339" width="8.7109375" style="179"/>
    <col min="3340" max="3353" width="10.140625" style="179" customWidth="1"/>
    <col min="3354" max="3354" width="8.85546875" style="179" customWidth="1"/>
    <col min="3355" max="3355" width="8.140625" style="179" customWidth="1"/>
    <col min="3356" max="3399" width="0" style="179" hidden="1" customWidth="1"/>
    <col min="3400" max="3595" width="8.7109375" style="179"/>
    <col min="3596" max="3609" width="10.140625" style="179" customWidth="1"/>
    <col min="3610" max="3610" width="8.85546875" style="179" customWidth="1"/>
    <col min="3611" max="3611" width="8.140625" style="179" customWidth="1"/>
    <col min="3612" max="3655" width="0" style="179" hidden="1" customWidth="1"/>
    <col min="3656" max="3851" width="8.7109375" style="179"/>
    <col min="3852" max="3865" width="10.140625" style="179" customWidth="1"/>
    <col min="3866" max="3866" width="8.85546875" style="179" customWidth="1"/>
    <col min="3867" max="3867" width="8.140625" style="179" customWidth="1"/>
    <col min="3868" max="3911" width="0" style="179" hidden="1" customWidth="1"/>
    <col min="3912" max="4107" width="8.7109375" style="179"/>
    <col min="4108" max="4121" width="10.140625" style="179" customWidth="1"/>
    <col min="4122" max="4122" width="8.85546875" style="179" customWidth="1"/>
    <col min="4123" max="4123" width="8.140625" style="179" customWidth="1"/>
    <col min="4124" max="4167" width="0" style="179" hidden="1" customWidth="1"/>
    <col min="4168" max="4363" width="8.7109375" style="179"/>
    <col min="4364" max="4377" width="10.140625" style="179" customWidth="1"/>
    <col min="4378" max="4378" width="8.85546875" style="179" customWidth="1"/>
    <col min="4379" max="4379" width="8.140625" style="179" customWidth="1"/>
    <col min="4380" max="4423" width="0" style="179" hidden="1" customWidth="1"/>
    <col min="4424" max="4619" width="8.7109375" style="179"/>
    <col min="4620" max="4633" width="10.140625" style="179" customWidth="1"/>
    <col min="4634" max="4634" width="8.85546875" style="179" customWidth="1"/>
    <col min="4635" max="4635" width="8.140625" style="179" customWidth="1"/>
    <col min="4636" max="4679" width="0" style="179" hidden="1" customWidth="1"/>
    <col min="4680" max="4875" width="8.7109375" style="179"/>
    <col min="4876" max="4889" width="10.140625" style="179" customWidth="1"/>
    <col min="4890" max="4890" width="8.85546875" style="179" customWidth="1"/>
    <col min="4891" max="4891" width="8.140625" style="179" customWidth="1"/>
    <col min="4892" max="4935" width="0" style="179" hidden="1" customWidth="1"/>
    <col min="4936" max="5131" width="8.7109375" style="179"/>
    <col min="5132" max="5145" width="10.140625" style="179" customWidth="1"/>
    <col min="5146" max="5146" width="8.85546875" style="179" customWidth="1"/>
    <col min="5147" max="5147" width="8.140625" style="179" customWidth="1"/>
    <col min="5148" max="5191" width="0" style="179" hidden="1" customWidth="1"/>
    <col min="5192" max="5387" width="8.7109375" style="179"/>
    <col min="5388" max="5401" width="10.140625" style="179" customWidth="1"/>
    <col min="5402" max="5402" width="8.85546875" style="179" customWidth="1"/>
    <col min="5403" max="5403" width="8.140625" style="179" customWidth="1"/>
    <col min="5404" max="5447" width="0" style="179" hidden="1" customWidth="1"/>
    <col min="5448" max="5643" width="8.7109375" style="179"/>
    <col min="5644" max="5657" width="10.140625" style="179" customWidth="1"/>
    <col min="5658" max="5658" width="8.85546875" style="179" customWidth="1"/>
    <col min="5659" max="5659" width="8.140625" style="179" customWidth="1"/>
    <col min="5660" max="5703" width="0" style="179" hidden="1" customWidth="1"/>
    <col min="5704" max="5899" width="8.7109375" style="179"/>
    <col min="5900" max="5913" width="10.140625" style="179" customWidth="1"/>
    <col min="5914" max="5914" width="8.85546875" style="179" customWidth="1"/>
    <col min="5915" max="5915" width="8.140625" style="179" customWidth="1"/>
    <col min="5916" max="5959" width="0" style="179" hidden="1" customWidth="1"/>
    <col min="5960" max="6155" width="8.7109375" style="179"/>
    <col min="6156" max="6169" width="10.140625" style="179" customWidth="1"/>
    <col min="6170" max="6170" width="8.85546875" style="179" customWidth="1"/>
    <col min="6171" max="6171" width="8.140625" style="179" customWidth="1"/>
    <col min="6172" max="6215" width="0" style="179" hidden="1" customWidth="1"/>
    <col min="6216" max="6411" width="8.7109375" style="179"/>
    <col min="6412" max="6425" width="10.140625" style="179" customWidth="1"/>
    <col min="6426" max="6426" width="8.85546875" style="179" customWidth="1"/>
    <col min="6427" max="6427" width="8.140625" style="179" customWidth="1"/>
    <col min="6428" max="6471" width="0" style="179" hidden="1" customWidth="1"/>
    <col min="6472" max="6667" width="8.7109375" style="179"/>
    <col min="6668" max="6681" width="10.140625" style="179" customWidth="1"/>
    <col min="6682" max="6682" width="8.85546875" style="179" customWidth="1"/>
    <col min="6683" max="6683" width="8.140625" style="179" customWidth="1"/>
    <col min="6684" max="6727" width="0" style="179" hidden="1" customWidth="1"/>
    <col min="6728" max="6923" width="8.7109375" style="179"/>
    <col min="6924" max="6937" width="10.140625" style="179" customWidth="1"/>
    <col min="6938" max="6938" width="8.85546875" style="179" customWidth="1"/>
    <col min="6939" max="6939" width="8.140625" style="179" customWidth="1"/>
    <col min="6940" max="6983" width="0" style="179" hidden="1" customWidth="1"/>
    <col min="6984" max="7179" width="8.7109375" style="179"/>
    <col min="7180" max="7193" width="10.140625" style="179" customWidth="1"/>
    <col min="7194" max="7194" width="8.85546875" style="179" customWidth="1"/>
    <col min="7195" max="7195" width="8.140625" style="179" customWidth="1"/>
    <col min="7196" max="7239" width="0" style="179" hidden="1" customWidth="1"/>
    <col min="7240" max="7435" width="8.7109375" style="179"/>
    <col min="7436" max="7449" width="10.140625" style="179" customWidth="1"/>
    <col min="7450" max="7450" width="8.85546875" style="179" customWidth="1"/>
    <col min="7451" max="7451" width="8.140625" style="179" customWidth="1"/>
    <col min="7452" max="7495" width="0" style="179" hidden="1" customWidth="1"/>
    <col min="7496" max="7691" width="8.7109375" style="179"/>
    <col min="7692" max="7705" width="10.140625" style="179" customWidth="1"/>
    <col min="7706" max="7706" width="8.85546875" style="179" customWidth="1"/>
    <col min="7707" max="7707" width="8.140625" style="179" customWidth="1"/>
    <col min="7708" max="7751" width="0" style="179" hidden="1" customWidth="1"/>
    <col min="7752" max="7947" width="8.7109375" style="179"/>
    <col min="7948" max="7961" width="10.140625" style="179" customWidth="1"/>
    <col min="7962" max="7962" width="8.85546875" style="179" customWidth="1"/>
    <col min="7963" max="7963" width="8.140625" style="179" customWidth="1"/>
    <col min="7964" max="8007" width="0" style="179" hidden="1" customWidth="1"/>
    <col min="8008" max="8203" width="8.7109375" style="179"/>
    <col min="8204" max="8217" width="10.140625" style="179" customWidth="1"/>
    <col min="8218" max="8218" width="8.85546875" style="179" customWidth="1"/>
    <col min="8219" max="8219" width="8.140625" style="179" customWidth="1"/>
    <col min="8220" max="8263" width="0" style="179" hidden="1" customWidth="1"/>
    <col min="8264" max="8459" width="8.7109375" style="179"/>
    <col min="8460" max="8473" width="10.140625" style="179" customWidth="1"/>
    <col min="8474" max="8474" width="8.85546875" style="179" customWidth="1"/>
    <col min="8475" max="8475" width="8.140625" style="179" customWidth="1"/>
    <col min="8476" max="8519" width="0" style="179" hidden="1" customWidth="1"/>
    <col min="8520" max="8715" width="8.7109375" style="179"/>
    <col min="8716" max="8729" width="10.140625" style="179" customWidth="1"/>
    <col min="8730" max="8730" width="8.85546875" style="179" customWidth="1"/>
    <col min="8731" max="8731" width="8.140625" style="179" customWidth="1"/>
    <col min="8732" max="8775" width="0" style="179" hidden="1" customWidth="1"/>
    <col min="8776" max="8971" width="8.7109375" style="179"/>
    <col min="8972" max="8985" width="10.140625" style="179" customWidth="1"/>
    <col min="8986" max="8986" width="8.85546875" style="179" customWidth="1"/>
    <col min="8987" max="8987" width="8.140625" style="179" customWidth="1"/>
    <col min="8988" max="9031" width="0" style="179" hidden="1" customWidth="1"/>
    <col min="9032" max="9227" width="8.7109375" style="179"/>
    <col min="9228" max="9241" width="10.140625" style="179" customWidth="1"/>
    <col min="9242" max="9242" width="8.85546875" style="179" customWidth="1"/>
    <col min="9243" max="9243" width="8.140625" style="179" customWidth="1"/>
    <col min="9244" max="9287" width="0" style="179" hidden="1" customWidth="1"/>
    <col min="9288" max="9483" width="8.7109375" style="179"/>
    <col min="9484" max="9497" width="10.140625" style="179" customWidth="1"/>
    <col min="9498" max="9498" width="8.85546875" style="179" customWidth="1"/>
    <col min="9499" max="9499" width="8.140625" style="179" customWidth="1"/>
    <col min="9500" max="9543" width="0" style="179" hidden="1" customWidth="1"/>
    <col min="9544" max="9739" width="8.7109375" style="179"/>
    <col min="9740" max="9753" width="10.140625" style="179" customWidth="1"/>
    <col min="9754" max="9754" width="8.85546875" style="179" customWidth="1"/>
    <col min="9755" max="9755" width="8.140625" style="179" customWidth="1"/>
    <col min="9756" max="9799" width="0" style="179" hidden="1" customWidth="1"/>
    <col min="9800" max="9995" width="8.7109375" style="179"/>
    <col min="9996" max="10009" width="10.140625" style="179" customWidth="1"/>
    <col min="10010" max="10010" width="8.85546875" style="179" customWidth="1"/>
    <col min="10011" max="10011" width="8.140625" style="179" customWidth="1"/>
    <col min="10012" max="10055" width="0" style="179" hidden="1" customWidth="1"/>
    <col min="10056" max="10251" width="8.7109375" style="179"/>
    <col min="10252" max="10265" width="10.140625" style="179" customWidth="1"/>
    <col min="10266" max="10266" width="8.85546875" style="179" customWidth="1"/>
    <col min="10267" max="10267" width="8.140625" style="179" customWidth="1"/>
    <col min="10268" max="10311" width="0" style="179" hidden="1" customWidth="1"/>
    <col min="10312" max="10507" width="8.7109375" style="179"/>
    <col min="10508" max="10521" width="10.140625" style="179" customWidth="1"/>
    <col min="10522" max="10522" width="8.85546875" style="179" customWidth="1"/>
    <col min="10523" max="10523" width="8.140625" style="179" customWidth="1"/>
    <col min="10524" max="10567" width="0" style="179" hidden="1" customWidth="1"/>
    <col min="10568" max="10763" width="8.7109375" style="179"/>
    <col min="10764" max="10777" width="10.140625" style="179" customWidth="1"/>
    <col min="10778" max="10778" width="8.85546875" style="179" customWidth="1"/>
    <col min="10779" max="10779" width="8.140625" style="179" customWidth="1"/>
    <col min="10780" max="10823" width="0" style="179" hidden="1" customWidth="1"/>
    <col min="10824" max="11019" width="8.7109375" style="179"/>
    <col min="11020" max="11033" width="10.140625" style="179" customWidth="1"/>
    <col min="11034" max="11034" width="8.85546875" style="179" customWidth="1"/>
    <col min="11035" max="11035" width="8.140625" style="179" customWidth="1"/>
    <col min="11036" max="11079" width="0" style="179" hidden="1" customWidth="1"/>
    <col min="11080" max="11275" width="8.7109375" style="179"/>
    <col min="11276" max="11289" width="10.140625" style="179" customWidth="1"/>
    <col min="11290" max="11290" width="8.85546875" style="179" customWidth="1"/>
    <col min="11291" max="11291" width="8.140625" style="179" customWidth="1"/>
    <col min="11292" max="11335" width="0" style="179" hidden="1" customWidth="1"/>
    <col min="11336" max="11531" width="8.7109375" style="179"/>
    <col min="11532" max="11545" width="10.140625" style="179" customWidth="1"/>
    <col min="11546" max="11546" width="8.85546875" style="179" customWidth="1"/>
    <col min="11547" max="11547" width="8.140625" style="179" customWidth="1"/>
    <col min="11548" max="11591" width="0" style="179" hidden="1" customWidth="1"/>
    <col min="11592" max="11787" width="8.7109375" style="179"/>
    <col min="11788" max="11801" width="10.140625" style="179" customWidth="1"/>
    <col min="11802" max="11802" width="8.85546875" style="179" customWidth="1"/>
    <col min="11803" max="11803" width="8.140625" style="179" customWidth="1"/>
    <col min="11804" max="11847" width="0" style="179" hidden="1" customWidth="1"/>
    <col min="11848" max="12043" width="8.7109375" style="179"/>
    <col min="12044" max="12057" width="10.140625" style="179" customWidth="1"/>
    <col min="12058" max="12058" width="8.85546875" style="179" customWidth="1"/>
    <col min="12059" max="12059" width="8.140625" style="179" customWidth="1"/>
    <col min="12060" max="12103" width="0" style="179" hidden="1" customWidth="1"/>
    <col min="12104" max="12299" width="8.7109375" style="179"/>
    <col min="12300" max="12313" width="10.140625" style="179" customWidth="1"/>
    <col min="12314" max="12314" width="8.85546875" style="179" customWidth="1"/>
    <col min="12315" max="12315" width="8.140625" style="179" customWidth="1"/>
    <col min="12316" max="12359" width="0" style="179" hidden="1" customWidth="1"/>
    <col min="12360" max="12555" width="8.7109375" style="179"/>
    <col min="12556" max="12569" width="10.140625" style="179" customWidth="1"/>
    <col min="12570" max="12570" width="8.85546875" style="179" customWidth="1"/>
    <col min="12571" max="12571" width="8.140625" style="179" customWidth="1"/>
    <col min="12572" max="12615" width="0" style="179" hidden="1" customWidth="1"/>
    <col min="12616" max="12811" width="8.7109375" style="179"/>
    <col min="12812" max="12825" width="10.140625" style="179" customWidth="1"/>
    <col min="12826" max="12826" width="8.85546875" style="179" customWidth="1"/>
    <col min="12827" max="12827" width="8.140625" style="179" customWidth="1"/>
    <col min="12828" max="12871" width="0" style="179" hidden="1" customWidth="1"/>
    <col min="12872" max="13067" width="8.7109375" style="179"/>
    <col min="13068" max="13081" width="10.140625" style="179" customWidth="1"/>
    <col min="13082" max="13082" width="8.85546875" style="179" customWidth="1"/>
    <col min="13083" max="13083" width="8.140625" style="179" customWidth="1"/>
    <col min="13084" max="13127" width="0" style="179" hidden="1" customWidth="1"/>
    <col min="13128" max="13323" width="8.7109375" style="179"/>
    <col min="13324" max="13337" width="10.140625" style="179" customWidth="1"/>
    <col min="13338" max="13338" width="8.85546875" style="179" customWidth="1"/>
    <col min="13339" max="13339" width="8.140625" style="179" customWidth="1"/>
    <col min="13340" max="13383" width="0" style="179" hidden="1" customWidth="1"/>
    <col min="13384" max="13579" width="8.7109375" style="179"/>
    <col min="13580" max="13593" width="10.140625" style="179" customWidth="1"/>
    <col min="13594" max="13594" width="8.85546875" style="179" customWidth="1"/>
    <col min="13595" max="13595" width="8.140625" style="179" customWidth="1"/>
    <col min="13596" max="13639" width="0" style="179" hidden="1" customWidth="1"/>
    <col min="13640" max="13835" width="8.7109375" style="179"/>
    <col min="13836" max="13849" width="10.140625" style="179" customWidth="1"/>
    <col min="13850" max="13850" width="8.85546875" style="179" customWidth="1"/>
    <col min="13851" max="13851" width="8.140625" style="179" customWidth="1"/>
    <col min="13852" max="13895" width="0" style="179" hidden="1" customWidth="1"/>
    <col min="13896" max="14091" width="8.7109375" style="179"/>
    <col min="14092" max="14105" width="10.140625" style="179" customWidth="1"/>
    <col min="14106" max="14106" width="8.85546875" style="179" customWidth="1"/>
    <col min="14107" max="14107" width="8.140625" style="179" customWidth="1"/>
    <col min="14108" max="14151" width="0" style="179" hidden="1" customWidth="1"/>
    <col min="14152" max="14347" width="8.7109375" style="179"/>
    <col min="14348" max="14361" width="10.140625" style="179" customWidth="1"/>
    <col min="14362" max="14362" width="8.85546875" style="179" customWidth="1"/>
    <col min="14363" max="14363" width="8.140625" style="179" customWidth="1"/>
    <col min="14364" max="14407" width="0" style="179" hidden="1" customWidth="1"/>
    <col min="14408" max="14603" width="8.7109375" style="179"/>
    <col min="14604" max="14617" width="10.140625" style="179" customWidth="1"/>
    <col min="14618" max="14618" width="8.85546875" style="179" customWidth="1"/>
    <col min="14619" max="14619" width="8.140625" style="179" customWidth="1"/>
    <col min="14620" max="14663" width="0" style="179" hidden="1" customWidth="1"/>
    <col min="14664" max="14859" width="8.7109375" style="179"/>
    <col min="14860" max="14873" width="10.140625" style="179" customWidth="1"/>
    <col min="14874" max="14874" width="8.85546875" style="179" customWidth="1"/>
    <col min="14875" max="14875" width="8.140625" style="179" customWidth="1"/>
    <col min="14876" max="14919" width="0" style="179" hidden="1" customWidth="1"/>
    <col min="14920" max="15115" width="8.7109375" style="179"/>
    <col min="15116" max="15129" width="10.140625" style="179" customWidth="1"/>
    <col min="15130" max="15130" width="8.85546875" style="179" customWidth="1"/>
    <col min="15131" max="15131" width="8.140625" style="179" customWidth="1"/>
    <col min="15132" max="15175" width="0" style="179" hidden="1" customWidth="1"/>
    <col min="15176" max="15371" width="8.7109375" style="179"/>
    <col min="15372" max="15385" width="10.140625" style="179" customWidth="1"/>
    <col min="15386" max="15386" width="8.85546875" style="179" customWidth="1"/>
    <col min="15387" max="15387" width="8.140625" style="179" customWidth="1"/>
    <col min="15388" max="15431" width="0" style="179" hidden="1" customWidth="1"/>
    <col min="15432" max="15627" width="8.7109375" style="179"/>
    <col min="15628" max="15641" width="10.140625" style="179" customWidth="1"/>
    <col min="15642" max="15642" width="8.85546875" style="179" customWidth="1"/>
    <col min="15643" max="15643" width="8.140625" style="179" customWidth="1"/>
    <col min="15644" max="15687" width="0" style="179" hidden="1" customWidth="1"/>
    <col min="15688" max="15883" width="8.7109375" style="179"/>
    <col min="15884" max="15897" width="10.140625" style="179" customWidth="1"/>
    <col min="15898" max="15898" width="8.85546875" style="179" customWidth="1"/>
    <col min="15899" max="15899" width="8.140625" style="179" customWidth="1"/>
    <col min="15900" max="15943" width="0" style="179" hidden="1" customWidth="1"/>
    <col min="15944" max="16139" width="8.7109375" style="179"/>
    <col min="16140" max="16153" width="10.140625" style="179" customWidth="1"/>
    <col min="16154" max="16154" width="8.85546875" style="179" customWidth="1"/>
    <col min="16155" max="16155" width="8.140625" style="179" customWidth="1"/>
    <col min="16156" max="16199" width="0" style="179" hidden="1" customWidth="1"/>
    <col min="16200" max="16384" width="8.7109375" style="179"/>
  </cols>
  <sheetData>
    <row r="1" spans="1:55" ht="21.75" customHeight="1" x14ac:dyDescent="0.2">
      <c r="B1" s="383" t="s">
        <v>140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1"/>
      <c r="Q1" s="140"/>
      <c r="R1" s="140"/>
      <c r="S1" s="140"/>
      <c r="T1" s="140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181"/>
      <c r="AY1" s="181"/>
      <c r="AZ1" s="181"/>
      <c r="BA1" s="181"/>
      <c r="BB1" s="181"/>
      <c r="BC1" s="181"/>
    </row>
    <row r="2" spans="1:55" ht="18" customHeight="1" x14ac:dyDescent="0.2">
      <c r="A2" s="35"/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1"/>
      <c r="Q2" s="140"/>
      <c r="R2" s="140"/>
      <c r="S2" s="140"/>
      <c r="T2" s="140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181"/>
      <c r="AY2" s="181"/>
      <c r="AZ2" s="181"/>
      <c r="BA2" s="181"/>
      <c r="BB2" s="181"/>
      <c r="BC2" s="181"/>
    </row>
    <row r="3" spans="1:55" ht="19.5" customHeight="1" x14ac:dyDescent="0.2">
      <c r="A3" s="35"/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1"/>
      <c r="Q3" s="315"/>
      <c r="R3" s="315"/>
      <c r="S3" s="315"/>
      <c r="T3" s="315"/>
      <c r="U3" s="315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181"/>
      <c r="AY3" s="181"/>
      <c r="AZ3" s="181"/>
      <c r="BA3" s="181"/>
      <c r="BB3" s="181"/>
      <c r="BC3" s="181"/>
    </row>
    <row r="4" spans="1:55" ht="14.25" customHeight="1" x14ac:dyDescent="0.2">
      <c r="A4" s="35"/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1"/>
      <c r="Q4" s="315"/>
      <c r="R4" s="315"/>
      <c r="S4" s="315"/>
      <c r="T4" s="315"/>
      <c r="U4" s="315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181"/>
      <c r="AY4" s="181"/>
      <c r="AZ4" s="181"/>
      <c r="BA4" s="181"/>
      <c r="BB4" s="181"/>
      <c r="BC4" s="181"/>
    </row>
    <row r="5" spans="1:55" ht="15" customHeight="1" x14ac:dyDescent="0.2">
      <c r="A5" s="4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2"/>
      <c r="Q5" s="315"/>
      <c r="R5" s="315"/>
      <c r="S5" s="315"/>
      <c r="T5" s="315"/>
      <c r="U5" s="315"/>
      <c r="V5" s="28"/>
      <c r="W5" s="385" t="s">
        <v>131</v>
      </c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5"/>
      <c r="AK5" s="385"/>
      <c r="AL5" s="385"/>
      <c r="AM5" s="385"/>
      <c r="AN5" s="385"/>
      <c r="AO5" s="385"/>
      <c r="AP5" s="385"/>
      <c r="AQ5" s="385"/>
      <c r="AR5" s="385"/>
      <c r="AS5" s="385"/>
      <c r="AT5" s="385"/>
      <c r="AU5" s="385"/>
      <c r="AV5" s="385"/>
      <c r="AW5" s="140"/>
      <c r="AX5" s="181"/>
      <c r="AY5" s="181"/>
      <c r="AZ5" s="181"/>
      <c r="BA5" s="181"/>
      <c r="BB5" s="181"/>
      <c r="BC5" s="181"/>
    </row>
    <row r="6" spans="1:55" ht="15" customHeight="1" x14ac:dyDescent="0.2">
      <c r="A6" s="4"/>
      <c r="B6" s="156"/>
      <c r="C6" s="156"/>
      <c r="D6" s="156"/>
      <c r="E6" s="156"/>
      <c r="F6" s="157"/>
      <c r="G6" s="157"/>
      <c r="H6" s="157"/>
      <c r="I6" s="157"/>
      <c r="J6" s="157"/>
      <c r="K6" s="157"/>
      <c r="L6" s="157"/>
      <c r="M6" s="157"/>
      <c r="N6" s="2"/>
      <c r="O6" s="27"/>
      <c r="P6" s="2"/>
      <c r="Q6" s="315"/>
      <c r="R6" s="315"/>
      <c r="S6" s="315"/>
      <c r="T6" s="315"/>
      <c r="U6" s="315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181"/>
      <c r="AY6" s="181"/>
      <c r="AZ6" s="181"/>
      <c r="BA6" s="181"/>
      <c r="BB6" s="181"/>
      <c r="BC6" s="181"/>
    </row>
    <row r="7" spans="1:55" ht="15" customHeight="1" x14ac:dyDescent="0.2">
      <c r="A7" s="29"/>
      <c r="B7" s="156"/>
      <c r="C7" s="156"/>
      <c r="D7" s="156"/>
      <c r="E7" s="156"/>
      <c r="F7" s="157"/>
      <c r="G7" s="157"/>
      <c r="H7" s="157"/>
      <c r="I7" s="157"/>
      <c r="J7" s="157"/>
      <c r="K7" s="157"/>
      <c r="L7" s="157"/>
      <c r="M7" s="157"/>
      <c r="N7" s="2"/>
      <c r="O7" s="27"/>
      <c r="P7" s="2"/>
      <c r="Q7" s="315"/>
      <c r="R7" s="315"/>
      <c r="S7" s="315"/>
      <c r="T7" s="315"/>
      <c r="U7" s="315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 t="s">
        <v>18</v>
      </c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181"/>
      <c r="AY7" s="181"/>
      <c r="AZ7" s="181"/>
      <c r="BA7" s="181"/>
      <c r="BB7" s="181"/>
      <c r="BC7" s="181"/>
    </row>
    <row r="8" spans="1:55" ht="15" customHeight="1" x14ac:dyDescent="0.2">
      <c r="A8" s="29"/>
      <c r="B8" s="156"/>
      <c r="H8" s="157"/>
      <c r="I8" s="157"/>
      <c r="J8" s="157"/>
      <c r="K8" s="157"/>
      <c r="L8" s="157"/>
      <c r="M8" s="157"/>
      <c r="N8" s="2"/>
      <c r="O8" s="27"/>
      <c r="P8" s="2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181"/>
      <c r="AY8" s="181"/>
      <c r="AZ8" s="181" t="s">
        <v>120</v>
      </c>
      <c r="BA8" s="181"/>
      <c r="BB8" s="181"/>
      <c r="BC8" s="181"/>
    </row>
    <row r="9" spans="1:55" ht="15" customHeight="1" x14ac:dyDescent="0.2">
      <c r="A9" s="29"/>
      <c r="C9" s="392" t="s">
        <v>188</v>
      </c>
      <c r="D9" s="392"/>
      <c r="E9" s="392"/>
      <c r="F9" s="392"/>
      <c r="G9" s="392"/>
      <c r="I9" s="182" t="s">
        <v>92</v>
      </c>
      <c r="J9" s="71"/>
      <c r="K9" s="71" t="s">
        <v>1</v>
      </c>
      <c r="L9" s="71" t="s">
        <v>3</v>
      </c>
      <c r="M9" s="2" t="s">
        <v>92</v>
      </c>
      <c r="N9" s="2" t="s">
        <v>92</v>
      </c>
      <c r="O9" s="2" t="s">
        <v>0</v>
      </c>
      <c r="P9" s="2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181"/>
      <c r="AY9" s="181"/>
      <c r="AZ9" s="183">
        <f>G37</f>
        <v>120</v>
      </c>
      <c r="BA9" s="181"/>
      <c r="BB9" s="181"/>
      <c r="BC9" s="181"/>
    </row>
    <row r="10" spans="1:55" ht="15" customHeight="1" x14ac:dyDescent="0.2">
      <c r="A10" s="29"/>
      <c r="C10" s="392"/>
      <c r="D10" s="392"/>
      <c r="E10" s="392"/>
      <c r="F10" s="392"/>
      <c r="G10" s="392"/>
      <c r="I10" s="182" t="s">
        <v>93</v>
      </c>
      <c r="J10" s="71" t="s">
        <v>90</v>
      </c>
      <c r="K10" s="71" t="s">
        <v>2</v>
      </c>
      <c r="L10" s="71" t="s">
        <v>2</v>
      </c>
      <c r="M10" s="2" t="s">
        <v>98</v>
      </c>
      <c r="N10" s="2" t="s">
        <v>98</v>
      </c>
      <c r="O10" s="2" t="s">
        <v>98</v>
      </c>
      <c r="P10" s="2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 t="s">
        <v>33</v>
      </c>
      <c r="AB10" s="28"/>
      <c r="AC10" s="28" t="s">
        <v>100</v>
      </c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181"/>
      <c r="AY10" s="181"/>
      <c r="AZ10" s="181"/>
      <c r="BA10" s="181"/>
      <c r="BB10" s="181"/>
      <c r="BC10" s="181"/>
    </row>
    <row r="11" spans="1:55" ht="15" customHeight="1" x14ac:dyDescent="0.2">
      <c r="A11" s="29"/>
      <c r="C11" s="392"/>
      <c r="D11" s="392"/>
      <c r="E11" s="392"/>
      <c r="F11" s="392"/>
      <c r="G11" s="392"/>
      <c r="I11" s="72" t="s">
        <v>94</v>
      </c>
      <c r="J11" s="182" t="s">
        <v>91</v>
      </c>
      <c r="K11" s="182" t="s">
        <v>83</v>
      </c>
      <c r="L11" s="182" t="s">
        <v>83</v>
      </c>
      <c r="M11" s="2" t="s">
        <v>33</v>
      </c>
      <c r="N11" s="2" t="s">
        <v>97</v>
      </c>
      <c r="O11" s="2" t="s">
        <v>99</v>
      </c>
      <c r="P11" s="2"/>
      <c r="Q11" s="28"/>
      <c r="R11" s="28"/>
      <c r="S11" s="28"/>
      <c r="T11" s="28"/>
      <c r="U11" s="28"/>
      <c r="V11" s="28"/>
      <c r="W11" s="28"/>
      <c r="X11" s="28">
        <f>COUNTIF(X12:X21,TRUE)</f>
        <v>0</v>
      </c>
      <c r="Y11" s="28">
        <f>COUNTIF(Y12:Y21,TRUE)</f>
        <v>0</v>
      </c>
      <c r="Z11" s="28"/>
      <c r="AA11" s="28" t="s">
        <v>1</v>
      </c>
      <c r="AB11" s="28" t="s">
        <v>3</v>
      </c>
      <c r="AC11" s="28" t="s">
        <v>1</v>
      </c>
      <c r="AD11" s="28" t="s">
        <v>3</v>
      </c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181"/>
      <c r="AY11" s="181"/>
      <c r="AZ11" s="181"/>
      <c r="BA11" s="181"/>
      <c r="BB11" s="181"/>
      <c r="BC11" s="181"/>
    </row>
    <row r="12" spans="1:55" ht="15" customHeight="1" x14ac:dyDescent="0.2">
      <c r="A12" s="29"/>
      <c r="B12" s="156"/>
      <c r="C12" s="156"/>
      <c r="D12" s="156"/>
      <c r="E12" s="156"/>
      <c r="F12" s="157"/>
      <c r="G12" s="157"/>
      <c r="I12" s="182" t="str">
        <f>'Step 1 - Load Sizing'!A8</f>
        <v>A</v>
      </c>
      <c r="J12" s="182">
        <f>'Step 1 - Load Sizing'!C8</f>
        <v>0</v>
      </c>
      <c r="K12" s="182" t="str">
        <f>IF(J12&lt;100,"",IF('Step 1 - Load Sizing'!N8&gt;0,'Step 1 - Load Sizing'!N8,'Step 1 - Load Sizing'!I8))</f>
        <v/>
      </c>
      <c r="L12" s="71" t="str">
        <f>IF(J12&lt;100,"",IF('Step 1 - Load Sizing'!P8&gt;0,'Step 1 - Load Sizing'!P8,'Step 1 - Load Sizing'!J8))</f>
        <v/>
      </c>
      <c r="M12" s="174"/>
      <c r="N12" s="174"/>
      <c r="O12" s="174"/>
      <c r="P12" s="2"/>
      <c r="Q12" s="28" t="str">
        <f>IF(J12&lt;100,"",IF('Step 1 - Load Sizing'!N8&gt;0,'Step 1 - Load Sizing'!N8,'Step 1 - Load Sizing'!I8))</f>
        <v/>
      </c>
      <c r="R12" s="28"/>
      <c r="S12" s="28"/>
      <c r="T12" s="28"/>
      <c r="U12" s="28"/>
      <c r="V12" s="28">
        <v>1</v>
      </c>
      <c r="W12" s="316" t="s">
        <v>4</v>
      </c>
      <c r="X12" s="28" t="b">
        <v>0</v>
      </c>
      <c r="Y12" s="28" t="b">
        <v>0</v>
      </c>
      <c r="Z12" s="28">
        <v>1</v>
      </c>
      <c r="AA12" s="28" t="str">
        <f t="shared" ref="AA12:AA21" si="0">IF(X12=TRUE,+K12,"")</f>
        <v/>
      </c>
      <c r="AB12" s="28" t="str">
        <f t="shared" ref="AB12:AB21" si="1">IF(X12=TRUE,+L12,"")</f>
        <v/>
      </c>
      <c r="AC12" s="28" t="str">
        <f t="shared" ref="AC12:AC21" si="2">IF(Y12=TRUE,+K12,"")</f>
        <v/>
      </c>
      <c r="AD12" s="28" t="str">
        <f t="shared" ref="AD12:AD21" si="3">IF(Y12=TRUE,+L12,"")</f>
        <v/>
      </c>
      <c r="AE12" s="28">
        <f t="shared" ref="AE12:AE21" si="4">X12+Y12</f>
        <v>0</v>
      </c>
      <c r="AF12" s="28">
        <f>VLOOKUP(Z12,V12:AE21,10)</f>
        <v>0</v>
      </c>
      <c r="AG12" s="28" t="str">
        <f>IF(MAX(AC22:AD22)&gt;0,IF(VLOOKUP(Z12,V12:AE21,10)=2,"Secondary","No Secondary"),"No Transf")</f>
        <v>No Transf</v>
      </c>
      <c r="AH12" s="28"/>
      <c r="AI12" s="28">
        <f t="shared" ref="AI12:AI21" si="5">IF(X12=TRUE,IF(Y12=TRUE,2,1),IF(Y12=TRUE,50,0))</f>
        <v>0</v>
      </c>
      <c r="AJ12" s="28">
        <v>0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181"/>
      <c r="AY12" s="181"/>
      <c r="AZ12" s="181"/>
      <c r="BA12" s="181"/>
      <c r="BB12" s="181"/>
      <c r="BC12" s="181"/>
    </row>
    <row r="13" spans="1:55" ht="15" customHeight="1" x14ac:dyDescent="0.2">
      <c r="A13" s="29"/>
      <c r="B13" s="156"/>
      <c r="C13" s="156"/>
      <c r="D13" s="156"/>
      <c r="E13" s="156"/>
      <c r="F13" s="157"/>
      <c r="G13" s="157"/>
      <c r="I13" s="182" t="str">
        <f>'Step 1 - Load Sizing'!A9</f>
        <v>B</v>
      </c>
      <c r="J13" s="182">
        <f>'Step 1 - Load Sizing'!C9</f>
        <v>0</v>
      </c>
      <c r="K13" s="182" t="str">
        <f>IF(J13&lt;100,"",IF('Step 1 - Load Sizing'!N9&gt;0,'Step 1 - Load Sizing'!N9,'Step 1 - Load Sizing'!I9))</f>
        <v/>
      </c>
      <c r="L13" s="71" t="str">
        <f>IF(J13&lt;100,"",IF('Step 1 - Load Sizing'!P9&gt;0,'Step 1 - Load Sizing'!P9,'Step 1 - Load Sizing'!J9))</f>
        <v/>
      </c>
      <c r="M13" s="174"/>
      <c r="N13" s="174"/>
      <c r="O13" s="174"/>
      <c r="P13" s="2"/>
      <c r="Q13" s="28"/>
      <c r="R13" s="28"/>
      <c r="S13" s="28"/>
      <c r="T13" s="28"/>
      <c r="U13" s="28"/>
      <c r="V13" s="28">
        <v>2</v>
      </c>
      <c r="W13" s="316" t="s">
        <v>5</v>
      </c>
      <c r="X13" s="28" t="b">
        <v>0</v>
      </c>
      <c r="Y13" s="28"/>
      <c r="Z13" s="28"/>
      <c r="AA13" s="28" t="str">
        <f t="shared" si="0"/>
        <v/>
      </c>
      <c r="AB13" s="28" t="str">
        <f t="shared" si="1"/>
        <v/>
      </c>
      <c r="AC13" s="28" t="str">
        <f t="shared" si="2"/>
        <v/>
      </c>
      <c r="AD13" s="28" t="str">
        <f t="shared" si="3"/>
        <v/>
      </c>
      <c r="AE13" s="28">
        <f t="shared" si="4"/>
        <v>0</v>
      </c>
      <c r="AF13" s="28"/>
      <c r="AG13" s="28"/>
      <c r="AH13" s="28"/>
      <c r="AI13" s="28">
        <f t="shared" si="5"/>
        <v>0</v>
      </c>
      <c r="AJ13" s="28">
        <v>1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181"/>
      <c r="AY13" s="181"/>
      <c r="AZ13" s="181"/>
      <c r="BA13" s="181"/>
      <c r="BB13" s="181"/>
      <c r="BC13" s="181"/>
    </row>
    <row r="14" spans="1:55" ht="15" customHeight="1" x14ac:dyDescent="0.2">
      <c r="A14" s="29"/>
      <c r="G14" s="157"/>
      <c r="I14" s="182" t="str">
        <f>'Step 1 - Load Sizing'!A10</f>
        <v>C</v>
      </c>
      <c r="J14" s="182">
        <f>'Step 1 - Load Sizing'!C10</f>
        <v>0</v>
      </c>
      <c r="K14" s="182" t="str">
        <f>IF(J14&lt;100,"",IF('Step 1 - Load Sizing'!N10&gt;0,'Step 1 - Load Sizing'!N10,'Step 1 - Load Sizing'!I10))</f>
        <v/>
      </c>
      <c r="L14" s="71" t="str">
        <f>IF(J14&lt;100,"",IF('Step 1 - Load Sizing'!P10&gt;0,'Step 1 - Load Sizing'!P10,'Step 1 - Load Sizing'!J10))</f>
        <v/>
      </c>
      <c r="M14" s="174"/>
      <c r="N14" s="174"/>
      <c r="O14" s="174"/>
      <c r="P14" s="2"/>
      <c r="Q14" s="28"/>
      <c r="R14" s="28"/>
      <c r="S14" s="28"/>
      <c r="T14" s="28"/>
      <c r="U14" s="28"/>
      <c r="V14" s="28">
        <v>3</v>
      </c>
      <c r="W14" s="316" t="s">
        <v>6</v>
      </c>
      <c r="X14" s="28"/>
      <c r="Y14" s="28"/>
      <c r="Z14" s="28"/>
      <c r="AA14" s="28" t="str">
        <f t="shared" si="0"/>
        <v/>
      </c>
      <c r="AB14" s="28" t="str">
        <f t="shared" si="1"/>
        <v/>
      </c>
      <c r="AC14" s="28" t="str">
        <f t="shared" si="2"/>
        <v/>
      </c>
      <c r="AD14" s="28" t="str">
        <f t="shared" si="3"/>
        <v/>
      </c>
      <c r="AE14" s="28">
        <f>X14+Y14</f>
        <v>0</v>
      </c>
      <c r="AF14" s="28"/>
      <c r="AG14" s="28"/>
      <c r="AH14" s="28"/>
      <c r="AI14" s="28">
        <f t="shared" si="5"/>
        <v>0</v>
      </c>
      <c r="AJ14" s="28">
        <v>2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181"/>
      <c r="AY14" s="181"/>
      <c r="AZ14" s="181"/>
      <c r="BA14" s="181"/>
      <c r="BB14" s="181"/>
      <c r="BC14" s="181"/>
    </row>
    <row r="15" spans="1:55" ht="15" customHeight="1" x14ac:dyDescent="0.2">
      <c r="A15" s="29"/>
      <c r="G15" s="157"/>
      <c r="I15" s="182" t="str">
        <f>'Step 1 - Load Sizing'!A11</f>
        <v>D</v>
      </c>
      <c r="J15" s="182">
        <f>'Step 1 - Load Sizing'!C11</f>
        <v>0</v>
      </c>
      <c r="K15" s="182" t="str">
        <f>IF(J15&lt;100,"",IF('Step 1 - Load Sizing'!N11&gt;0,'Step 1 - Load Sizing'!N11,'Step 1 - Load Sizing'!I11))</f>
        <v/>
      </c>
      <c r="L15" s="71" t="str">
        <f>IF(J15&lt;100,"",IF('Step 1 - Load Sizing'!P11&gt;0,'Step 1 - Load Sizing'!P11,'Step 1 - Load Sizing'!J11))</f>
        <v/>
      </c>
      <c r="M15" s="174"/>
      <c r="N15" s="174"/>
      <c r="O15" s="174"/>
      <c r="P15" s="2"/>
      <c r="Q15" s="28"/>
      <c r="R15" s="28"/>
      <c r="S15" s="28"/>
      <c r="T15" s="28"/>
      <c r="U15" s="28"/>
      <c r="V15" s="28">
        <v>4</v>
      </c>
      <c r="W15" s="316" t="s">
        <v>7</v>
      </c>
      <c r="X15" s="28"/>
      <c r="Y15" s="28"/>
      <c r="Z15" s="28"/>
      <c r="AA15" s="28" t="str">
        <f t="shared" si="0"/>
        <v/>
      </c>
      <c r="AB15" s="28" t="str">
        <f t="shared" si="1"/>
        <v/>
      </c>
      <c r="AC15" s="28" t="str">
        <f t="shared" si="2"/>
        <v/>
      </c>
      <c r="AD15" s="28" t="str">
        <f t="shared" si="3"/>
        <v/>
      </c>
      <c r="AE15" s="28">
        <f t="shared" si="4"/>
        <v>0</v>
      </c>
      <c r="AF15" s="28"/>
      <c r="AG15" s="28"/>
      <c r="AH15" s="28"/>
      <c r="AI15" s="28">
        <f t="shared" si="5"/>
        <v>0</v>
      </c>
      <c r="AJ15" s="28">
        <v>2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181"/>
      <c r="AY15" s="181"/>
      <c r="AZ15" s="181" t="s">
        <v>121</v>
      </c>
      <c r="BA15" s="181"/>
      <c r="BB15" s="181"/>
      <c r="BC15" s="181"/>
    </row>
    <row r="16" spans="1:55" ht="15" customHeight="1" x14ac:dyDescent="0.2">
      <c r="A16" s="29"/>
      <c r="G16" s="157"/>
      <c r="I16" s="182" t="str">
        <f>'Step 1 - Load Sizing'!A12</f>
        <v>E</v>
      </c>
      <c r="J16" s="182">
        <f>'Step 1 - Load Sizing'!C12</f>
        <v>0</v>
      </c>
      <c r="K16" s="182" t="str">
        <f>IF(J16&lt;100,"",IF('Step 1 - Load Sizing'!N12&gt;0,'Step 1 - Load Sizing'!N12,'Step 1 - Load Sizing'!I12))</f>
        <v/>
      </c>
      <c r="L16" s="71" t="str">
        <f>IF(J16&lt;100,"",IF('Step 1 - Load Sizing'!P12&gt;0,'Step 1 - Load Sizing'!P12,'Step 1 - Load Sizing'!J12))</f>
        <v/>
      </c>
      <c r="M16" s="174"/>
      <c r="N16" s="174"/>
      <c r="O16" s="174"/>
      <c r="P16" s="2"/>
      <c r="Q16" s="28"/>
      <c r="R16" s="28"/>
      <c r="S16" s="28"/>
      <c r="T16" s="28"/>
      <c r="U16" s="28"/>
      <c r="V16" s="28">
        <v>5</v>
      </c>
      <c r="W16" s="316" t="s">
        <v>8</v>
      </c>
      <c r="X16" s="28"/>
      <c r="Y16" s="28"/>
      <c r="Z16" s="28"/>
      <c r="AA16" s="28" t="str">
        <f t="shared" si="0"/>
        <v/>
      </c>
      <c r="AB16" s="28" t="str">
        <f t="shared" si="1"/>
        <v/>
      </c>
      <c r="AC16" s="28" t="str">
        <f t="shared" si="2"/>
        <v/>
      </c>
      <c r="AD16" s="28" t="str">
        <f t="shared" si="3"/>
        <v/>
      </c>
      <c r="AE16" s="28">
        <f t="shared" si="4"/>
        <v>0</v>
      </c>
      <c r="AF16" s="28"/>
      <c r="AG16" s="28"/>
      <c r="AH16" s="28"/>
      <c r="AI16" s="28">
        <f t="shared" si="5"/>
        <v>0</v>
      </c>
      <c r="AJ16" s="28">
        <v>0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181"/>
      <c r="AY16" s="181"/>
      <c r="AZ16" s="183">
        <f>G48</f>
        <v>130</v>
      </c>
      <c r="BA16" s="181"/>
      <c r="BB16" s="181"/>
      <c r="BC16" s="181"/>
    </row>
    <row r="17" spans="1:55" ht="15" customHeight="1" x14ac:dyDescent="0.2">
      <c r="A17" s="29"/>
      <c r="B17" s="397" t="s">
        <v>30</v>
      </c>
      <c r="C17" s="397"/>
      <c r="D17" s="156"/>
      <c r="E17" s="156"/>
      <c r="F17" s="157"/>
      <c r="G17" s="157"/>
      <c r="I17" s="182" t="str">
        <f>'Step 1 - Load Sizing'!A13</f>
        <v>F</v>
      </c>
      <c r="J17" s="182">
        <f>'Step 1 - Load Sizing'!C13</f>
        <v>0</v>
      </c>
      <c r="K17" s="182" t="str">
        <f>IF(J17&lt;100,"",IF('Step 1 - Load Sizing'!N13&gt;0,'Step 1 - Load Sizing'!N13,'Step 1 - Load Sizing'!I13))</f>
        <v/>
      </c>
      <c r="L17" s="71" t="str">
        <f>IF(J17&lt;100,"",IF('Step 1 - Load Sizing'!P13&gt;0,'Step 1 - Load Sizing'!P13,'Step 1 - Load Sizing'!J13))</f>
        <v/>
      </c>
      <c r="M17" s="174"/>
      <c r="N17" s="176"/>
      <c r="O17" s="174"/>
      <c r="P17" s="2"/>
      <c r="Q17" s="28"/>
      <c r="R17" s="28"/>
      <c r="S17" s="28"/>
      <c r="T17" s="28"/>
      <c r="U17" s="28"/>
      <c r="V17" s="28">
        <v>6</v>
      </c>
      <c r="W17" s="316" t="s">
        <v>9</v>
      </c>
      <c r="X17" s="28"/>
      <c r="Y17" s="28"/>
      <c r="Z17" s="28"/>
      <c r="AA17" s="28" t="str">
        <f t="shared" si="0"/>
        <v/>
      </c>
      <c r="AB17" s="28" t="str">
        <f t="shared" si="1"/>
        <v/>
      </c>
      <c r="AC17" s="28" t="str">
        <f t="shared" si="2"/>
        <v/>
      </c>
      <c r="AD17" s="28" t="str">
        <f t="shared" si="3"/>
        <v/>
      </c>
      <c r="AE17" s="28">
        <f t="shared" si="4"/>
        <v>0</v>
      </c>
      <c r="AF17" s="28"/>
      <c r="AG17" s="28"/>
      <c r="AH17" s="28"/>
      <c r="AI17" s="28">
        <f t="shared" si="5"/>
        <v>0</v>
      </c>
      <c r="AJ17" s="28">
        <v>0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181"/>
      <c r="AY17" s="181"/>
      <c r="AZ17" s="181"/>
      <c r="BA17" s="181"/>
      <c r="BB17" s="181"/>
      <c r="BC17" s="181"/>
    </row>
    <row r="18" spans="1:55" ht="15" customHeight="1" x14ac:dyDescent="0.2">
      <c r="A18" s="29"/>
      <c r="B18" s="156"/>
      <c r="C18" s="156"/>
      <c r="D18" s="156"/>
      <c r="E18" s="156"/>
      <c r="F18" s="157"/>
      <c r="G18" s="157"/>
      <c r="I18" s="182" t="str">
        <f>'Step 1 - Load Sizing'!A14</f>
        <v>G</v>
      </c>
      <c r="J18" s="182">
        <f>'Step 1 - Load Sizing'!C14</f>
        <v>0</v>
      </c>
      <c r="K18" s="182" t="str">
        <f>IF(J18&lt;100,"",IF('Step 1 - Load Sizing'!N14&gt;0,'Step 1 - Load Sizing'!N14,'Step 1 - Load Sizing'!I14))</f>
        <v/>
      </c>
      <c r="L18" s="71" t="str">
        <f>IF(J18&lt;100,"",IF('Step 1 - Load Sizing'!P14&gt;0,'Step 1 - Load Sizing'!P14,'Step 1 - Load Sizing'!J14))</f>
        <v/>
      </c>
      <c r="M18" s="174"/>
      <c r="N18" s="174"/>
      <c r="O18" s="174"/>
      <c r="P18" s="2"/>
      <c r="Q18" s="28"/>
      <c r="R18" s="28"/>
      <c r="S18" s="28"/>
      <c r="T18" s="28"/>
      <c r="U18" s="28"/>
      <c r="V18" s="28">
        <v>7</v>
      </c>
      <c r="W18" s="316" t="s">
        <v>10</v>
      </c>
      <c r="X18" s="28"/>
      <c r="Y18" s="28"/>
      <c r="Z18" s="28"/>
      <c r="AA18" s="28" t="str">
        <f t="shared" si="0"/>
        <v/>
      </c>
      <c r="AB18" s="28" t="str">
        <f t="shared" si="1"/>
        <v/>
      </c>
      <c r="AC18" s="28" t="str">
        <f t="shared" si="2"/>
        <v/>
      </c>
      <c r="AD18" s="28" t="str">
        <f t="shared" si="3"/>
        <v/>
      </c>
      <c r="AE18" s="28">
        <f t="shared" si="4"/>
        <v>0</v>
      </c>
      <c r="AF18" s="28"/>
      <c r="AG18" s="28"/>
      <c r="AH18" s="28"/>
      <c r="AI18" s="28">
        <f t="shared" si="5"/>
        <v>0</v>
      </c>
      <c r="AJ18" s="28">
        <v>0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181"/>
      <c r="AY18" s="181"/>
      <c r="AZ18" s="181"/>
      <c r="BA18" s="181"/>
      <c r="BB18" s="181"/>
      <c r="BC18" s="181"/>
    </row>
    <row r="19" spans="1:55" ht="15" customHeight="1" x14ac:dyDescent="0.2">
      <c r="A19" s="29"/>
      <c r="B19" s="156"/>
      <c r="C19" s="156"/>
      <c r="D19" s="156"/>
      <c r="E19" s="156"/>
      <c r="F19" s="157"/>
      <c r="G19" s="157"/>
      <c r="I19" s="182" t="str">
        <f>'Step 1 - Load Sizing'!A15</f>
        <v>H</v>
      </c>
      <c r="J19" s="182">
        <f>'Step 1 - Load Sizing'!C15</f>
        <v>0</v>
      </c>
      <c r="K19" s="182" t="str">
        <f>IF(J19&lt;100,"",IF('Step 1 - Load Sizing'!N15&gt;0,'Step 1 - Load Sizing'!N15,'Step 1 - Load Sizing'!I15))</f>
        <v/>
      </c>
      <c r="L19" s="71" t="str">
        <f>IF(J19&lt;100,"",IF('Step 1 - Load Sizing'!P15&gt;0,'Step 1 - Load Sizing'!P15,'Step 1 - Load Sizing'!J15))</f>
        <v/>
      </c>
      <c r="M19" s="174"/>
      <c r="N19" s="174"/>
      <c r="O19" s="174"/>
      <c r="P19" s="2"/>
      <c r="Q19" s="28"/>
      <c r="R19" s="28"/>
      <c r="S19" s="28"/>
      <c r="T19" s="28"/>
      <c r="U19" s="28"/>
      <c r="V19" s="28">
        <v>8</v>
      </c>
      <c r="W19" s="316" t="s">
        <v>11</v>
      </c>
      <c r="X19" s="28"/>
      <c r="Y19" s="28"/>
      <c r="Z19" s="28"/>
      <c r="AA19" s="28" t="str">
        <f t="shared" si="0"/>
        <v/>
      </c>
      <c r="AB19" s="28" t="str">
        <f t="shared" si="1"/>
        <v/>
      </c>
      <c r="AC19" s="28" t="str">
        <f t="shared" si="2"/>
        <v/>
      </c>
      <c r="AD19" s="28" t="str">
        <f t="shared" si="3"/>
        <v/>
      </c>
      <c r="AE19" s="28">
        <f t="shared" si="4"/>
        <v>0</v>
      </c>
      <c r="AF19" s="28"/>
      <c r="AG19" s="28"/>
      <c r="AH19" s="28"/>
      <c r="AI19" s="28">
        <f t="shared" si="5"/>
        <v>0</v>
      </c>
      <c r="AJ19" s="28">
        <v>0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181"/>
      <c r="AY19" s="181"/>
      <c r="AZ19" s="181"/>
      <c r="BA19" s="181"/>
      <c r="BB19" s="181"/>
      <c r="BC19" s="181"/>
    </row>
    <row r="20" spans="1:55" ht="15" customHeight="1" x14ac:dyDescent="0.2">
      <c r="A20" s="29"/>
      <c r="C20" s="184" t="s">
        <v>33</v>
      </c>
      <c r="D20" s="156"/>
      <c r="E20" s="396" t="s">
        <v>34</v>
      </c>
      <c r="F20" s="396"/>
      <c r="G20" s="157"/>
      <c r="I20" s="182" t="str">
        <f>'Step 1 - Load Sizing'!A16</f>
        <v>I</v>
      </c>
      <c r="J20" s="182">
        <f>'Step 1 - Load Sizing'!C16</f>
        <v>0</v>
      </c>
      <c r="K20" s="182" t="str">
        <f>IF(J20&lt;100,"",IF('Step 1 - Load Sizing'!N16&gt;0,'Step 1 - Load Sizing'!N16,'Step 1 - Load Sizing'!I16))</f>
        <v/>
      </c>
      <c r="L20" s="71" t="str">
        <f>IF(J20&lt;100,"",IF('Step 1 - Load Sizing'!P16&gt;0,'Step 1 - Load Sizing'!P16,'Step 1 - Load Sizing'!J16))</f>
        <v/>
      </c>
      <c r="M20" s="174"/>
      <c r="N20" s="174"/>
      <c r="O20" s="174"/>
      <c r="P20" s="2"/>
      <c r="Q20" s="28"/>
      <c r="R20" s="28"/>
      <c r="S20" s="28"/>
      <c r="T20" s="28"/>
      <c r="U20" s="28"/>
      <c r="V20" s="28">
        <v>9</v>
      </c>
      <c r="W20" s="316" t="s">
        <v>12</v>
      </c>
      <c r="X20" s="28"/>
      <c r="Y20" s="28"/>
      <c r="Z20" s="28"/>
      <c r="AA20" s="28" t="str">
        <f t="shared" si="0"/>
        <v/>
      </c>
      <c r="AB20" s="28" t="str">
        <f t="shared" si="1"/>
        <v/>
      </c>
      <c r="AC20" s="28" t="str">
        <f t="shared" si="2"/>
        <v/>
      </c>
      <c r="AD20" s="28" t="str">
        <f t="shared" si="3"/>
        <v/>
      </c>
      <c r="AE20" s="28">
        <f t="shared" si="4"/>
        <v>0</v>
      </c>
      <c r="AF20" s="28"/>
      <c r="AG20" s="28"/>
      <c r="AH20" s="28"/>
      <c r="AI20" s="28">
        <f t="shared" si="5"/>
        <v>0</v>
      </c>
      <c r="AJ20" s="28">
        <v>0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181"/>
      <c r="AY20" s="181"/>
      <c r="AZ20" s="181" t="s">
        <v>122</v>
      </c>
      <c r="BA20" s="181"/>
      <c r="BB20" s="181"/>
      <c r="BC20" s="181"/>
    </row>
    <row r="21" spans="1:55" ht="15" customHeight="1" x14ac:dyDescent="0.2">
      <c r="A21" s="29"/>
      <c r="B21" s="156"/>
      <c r="C21" s="156"/>
      <c r="D21" s="156"/>
      <c r="E21" s="156"/>
      <c r="F21" s="157"/>
      <c r="G21" s="157"/>
      <c r="I21" s="182" t="str">
        <f>'Step 1 - Load Sizing'!A17</f>
        <v>J</v>
      </c>
      <c r="J21" s="182">
        <f>'Step 1 - Load Sizing'!C17</f>
        <v>0</v>
      </c>
      <c r="K21" s="182" t="str">
        <f>IF(J21&lt;100,"",IF('Step 1 - Load Sizing'!N17&gt;0,'Step 1 - Load Sizing'!N17,'Step 1 - Load Sizing'!I17))</f>
        <v/>
      </c>
      <c r="L21" s="71" t="str">
        <f>IF(J21&lt;100,"",IF('Step 1 - Load Sizing'!P17&gt;0,'Step 1 - Load Sizing'!P17,'Step 1 - Load Sizing'!J17))</f>
        <v/>
      </c>
      <c r="M21" s="174"/>
      <c r="N21" s="174"/>
      <c r="O21" s="174"/>
      <c r="P21" s="2"/>
      <c r="Q21" s="28"/>
      <c r="R21" s="28"/>
      <c r="S21" s="28"/>
      <c r="T21" s="28"/>
      <c r="U21" s="28"/>
      <c r="V21" s="28">
        <v>10</v>
      </c>
      <c r="W21" s="316" t="s">
        <v>13</v>
      </c>
      <c r="X21" s="28"/>
      <c r="Y21" s="28"/>
      <c r="Z21" s="28"/>
      <c r="AA21" s="28" t="str">
        <f t="shared" si="0"/>
        <v/>
      </c>
      <c r="AB21" s="28" t="str">
        <f t="shared" si="1"/>
        <v/>
      </c>
      <c r="AC21" s="28" t="str">
        <f t="shared" si="2"/>
        <v/>
      </c>
      <c r="AD21" s="28" t="str">
        <f t="shared" si="3"/>
        <v/>
      </c>
      <c r="AE21" s="28">
        <f t="shared" si="4"/>
        <v>0</v>
      </c>
      <c r="AF21" s="28"/>
      <c r="AG21" s="28"/>
      <c r="AH21" s="28"/>
      <c r="AI21" s="28">
        <f t="shared" si="5"/>
        <v>0</v>
      </c>
      <c r="AJ21" s="28">
        <v>50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181"/>
      <c r="AY21" s="181"/>
      <c r="AZ21" s="181">
        <f>F47</f>
        <v>0</v>
      </c>
      <c r="BA21" s="181"/>
      <c r="BB21" s="181"/>
      <c r="BC21" s="181"/>
    </row>
    <row r="22" spans="1:55" ht="15" customHeight="1" x14ac:dyDescent="0.2">
      <c r="A22" s="29"/>
      <c r="C22" s="156"/>
      <c r="D22" s="156"/>
      <c r="E22" s="156"/>
      <c r="G22" s="167"/>
      <c r="H22" s="167"/>
      <c r="I22" s="167"/>
      <c r="J22" s="398" t="s">
        <v>192</v>
      </c>
      <c r="K22" s="398"/>
      <c r="L22" s="398"/>
      <c r="M22" s="398"/>
      <c r="N22" s="398"/>
      <c r="O22" s="27"/>
      <c r="P22" s="2"/>
      <c r="Q22" s="28"/>
      <c r="R22" s="28"/>
      <c r="S22" s="28"/>
      <c r="T22" s="28"/>
      <c r="U22" s="28"/>
      <c r="V22" s="28"/>
      <c r="W22" s="28"/>
      <c r="X22" s="28"/>
      <c r="Y22" s="28"/>
      <c r="Z22" s="317" t="s">
        <v>95</v>
      </c>
      <c r="AA22" s="318">
        <f>SUM(AA12:AA21)</f>
        <v>0</v>
      </c>
      <c r="AB22" s="318">
        <f>SUM(AB12:AB21)</f>
        <v>0</v>
      </c>
      <c r="AC22" s="318">
        <f>SUM(AC12:AC21)</f>
        <v>0</v>
      </c>
      <c r="AD22" s="318">
        <f>SUM(AD12:AD21)</f>
        <v>0</v>
      </c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181"/>
      <c r="AY22" s="181"/>
      <c r="AZ22" s="181"/>
      <c r="BA22" s="181"/>
      <c r="BB22" s="181"/>
      <c r="BC22" s="181"/>
    </row>
    <row r="23" spans="1:55" ht="15" customHeight="1" x14ac:dyDescent="0.2">
      <c r="A23" s="30"/>
      <c r="F23" s="439" t="str">
        <f>IF(X11&lt;1, "Please select homes connected to transformer above", IF(ISERROR(VLOOKUP(AI29,AF29:AG36,2)), "Please select transformer size using Step 2 - Transformer Sizing",IF(AND(Y11&lt;1,Y30=FALSE),"Please select homes connected to secondary conductor above or select ""No Secondary Conductor"" checkbox below", IF(AND($AK$46&lt;1,Y30=FALSE), "Please select wire used for secondary using drop-down menu",IF(AND($AK$50=0,Y30=FALSE), "Please select length of wire for secondary using slide bar", IF($Z$12=0, "Please select one home connected to service line above for Flicker and Voltage Drop analysis", IF($AK$53&lt;1, "Please select wire used for service conductor using drop-down menu", IF($AK$55=0, "Please select length of wire for service using slide bar", ""))))))))</f>
        <v>Please select homes connected to transformer above</v>
      </c>
      <c r="G23" s="439"/>
      <c r="H23" s="439"/>
      <c r="I23" s="439"/>
      <c r="J23" s="439"/>
      <c r="K23" s="439"/>
      <c r="L23" s="439"/>
      <c r="M23" s="439"/>
      <c r="N23" s="439"/>
      <c r="O23" s="2"/>
      <c r="P23" s="2"/>
      <c r="Q23" s="28"/>
      <c r="R23" s="28"/>
      <c r="S23" s="28"/>
      <c r="T23" s="28"/>
      <c r="U23" s="28"/>
      <c r="V23" s="28"/>
      <c r="W23" s="28"/>
      <c r="X23" s="28"/>
      <c r="Y23" s="28"/>
      <c r="Z23" s="101" t="s">
        <v>96</v>
      </c>
      <c r="AA23" s="319" t="str">
        <f>IF(COUNT(AA12:AA21)=0,"",HLOOKUP(COUNT(AA12:AA21),'Transf Sizing Data'!$E$40:$L$43,4)*AA22)</f>
        <v/>
      </c>
      <c r="AB23" s="319" t="str">
        <f>IF(COUNT(AB12:AB21)=0,"",HLOOKUP(COUNT(AB12:AB21),'Transf Sizing Data'!$E$44:$N$47,4)*AB22)</f>
        <v/>
      </c>
      <c r="AC23" s="319" t="str">
        <f>IF(COUNT(AC12:AC21)=0,"",HLOOKUP(COUNT(AC12:AC21),'Transf Sizing Data'!$E$40:$L$43,4)*AC22)</f>
        <v/>
      </c>
      <c r="AD23" s="319" t="str">
        <f>IF(COUNT(AD12:AD21)=0,"",HLOOKUP(COUNT(AD12:AD21),'Transf Sizing Data'!$E$44:$N$47,4)*AD22)</f>
        <v/>
      </c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181"/>
      <c r="AY23" s="181"/>
      <c r="AZ23" s="181"/>
      <c r="BA23" s="181"/>
      <c r="BB23" s="181"/>
      <c r="BC23" s="181"/>
    </row>
    <row r="24" spans="1:55" ht="15" customHeight="1" x14ac:dyDescent="0.2">
      <c r="A24" s="29"/>
      <c r="B24" s="185" t="s">
        <v>141</v>
      </c>
      <c r="C24" s="185"/>
      <c r="D24" s="185"/>
      <c r="E24" s="185"/>
      <c r="F24" s="439"/>
      <c r="G24" s="439"/>
      <c r="H24" s="439"/>
      <c r="I24" s="439"/>
      <c r="J24" s="439"/>
      <c r="K24" s="439"/>
      <c r="L24" s="439"/>
      <c r="M24" s="439"/>
      <c r="N24" s="439"/>
      <c r="O24" s="27"/>
      <c r="P24" s="2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 t="e">
        <f>AA23/AA22</f>
        <v>#VALUE!</v>
      </c>
      <c r="AB24" s="28" t="e">
        <f>AB23/AB22</f>
        <v>#VALUE!</v>
      </c>
      <c r="AC24" s="28" t="e">
        <f>AC23/AC22</f>
        <v>#VALUE!</v>
      </c>
      <c r="AD24" s="28" t="e">
        <f>AD23/AD22</f>
        <v>#VALUE!</v>
      </c>
      <c r="AE24" s="28"/>
      <c r="AF24" s="28"/>
      <c r="AG24" s="28"/>
      <c r="AH24" s="28"/>
      <c r="AI24" s="28"/>
      <c r="AJ24" s="28" t="s">
        <v>26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181"/>
      <c r="AY24" s="181"/>
      <c r="AZ24" s="181"/>
      <c r="BA24" s="181"/>
      <c r="BB24" s="181"/>
      <c r="BC24" s="181"/>
    </row>
    <row r="25" spans="1:55" ht="15" customHeight="1" thickBot="1" x14ac:dyDescent="0.25">
      <c r="A25" s="4"/>
      <c r="B25" s="185"/>
      <c r="C25" s="185"/>
      <c r="D25" s="185"/>
      <c r="E25" s="185"/>
      <c r="F25" s="185"/>
      <c r="G25" s="185"/>
      <c r="H25" s="31"/>
      <c r="I25" s="2"/>
      <c r="J25" s="2"/>
      <c r="K25" s="2"/>
      <c r="L25" s="2"/>
      <c r="M25" s="2"/>
      <c r="N25" s="2"/>
      <c r="O25" s="27"/>
      <c r="P25" s="2"/>
      <c r="Q25" s="28"/>
      <c r="R25" s="28"/>
      <c r="S25" s="28">
        <v>1</v>
      </c>
      <c r="T25" s="28"/>
      <c r="U25" s="28"/>
      <c r="V25" s="28"/>
      <c r="W25" s="28"/>
      <c r="X25" s="28"/>
      <c r="Y25" s="28"/>
      <c r="Z25" s="101" t="s">
        <v>108</v>
      </c>
      <c r="AA25" s="28" t="str">
        <f>IF(AA23&gt;184,"N/A",VLOOKUP(AA23,'Transformer Sizing Matrix'!$A$4:$C$204,2))</f>
        <v>N/A</v>
      </c>
      <c r="AB25" s="28" t="str">
        <f>IF(AB23&gt;184,"N/A",VLOOKUP(AB23,'Transformer Sizing Matrix'!$A$4:$C$204,3))</f>
        <v>N/A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181"/>
      <c r="AY25" s="181"/>
      <c r="AZ25" s="181"/>
      <c r="BA25" s="181"/>
      <c r="BB25" s="181"/>
      <c r="BC25" s="181"/>
    </row>
    <row r="26" spans="1:55" ht="15" customHeight="1" x14ac:dyDescent="0.2">
      <c r="A26" s="4"/>
      <c r="C26" s="432" t="s">
        <v>31</v>
      </c>
      <c r="D26" s="399"/>
      <c r="E26" s="399"/>
      <c r="F26" s="151"/>
      <c r="G26" s="153"/>
      <c r="H26" s="393" t="str">
        <f>IF(AA26=0,"Use Check Box to Select Homes Served by Transformer",CONCATENATE("Suggested Transformer Size is ",MAX(AA25:AB25)," kVA",""))</f>
        <v>Use Check Box to Select Homes Served by Transformer</v>
      </c>
      <c r="I26" s="394"/>
      <c r="J26" s="395"/>
      <c r="K26" s="386" t="s">
        <v>132</v>
      </c>
      <c r="L26" s="387"/>
      <c r="M26" s="387"/>
      <c r="N26" s="388"/>
      <c r="Q26" s="315"/>
      <c r="R26" s="315"/>
      <c r="S26" s="315"/>
      <c r="T26" s="315"/>
      <c r="U26" s="315"/>
      <c r="V26" s="315"/>
      <c r="W26" s="315"/>
      <c r="X26" s="28"/>
      <c r="Y26" s="28"/>
      <c r="Z26" s="28"/>
      <c r="AA26" s="41">
        <f>AA22+AB22</f>
        <v>0</v>
      </c>
      <c r="AB26" s="28"/>
      <c r="AC26" s="28"/>
      <c r="AD26" s="28"/>
      <c r="AE26" s="28"/>
      <c r="AF26" s="28"/>
      <c r="AG26" s="28"/>
      <c r="AH26" s="28"/>
      <c r="AI26" s="28"/>
      <c r="AJ26" s="28" t="s">
        <v>27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181" t="s">
        <v>123</v>
      </c>
      <c r="AY26" s="181"/>
      <c r="AZ26" s="181" t="s">
        <v>124</v>
      </c>
      <c r="BA26" s="181"/>
      <c r="BB26" s="181"/>
      <c r="BC26" s="181"/>
    </row>
    <row r="27" spans="1:55" ht="15" customHeight="1" thickBot="1" x14ac:dyDescent="0.25">
      <c r="A27" s="4"/>
      <c r="C27" s="434"/>
      <c r="D27" s="435"/>
      <c r="E27" s="435"/>
      <c r="F27" s="104" t="s">
        <v>1</v>
      </c>
      <c r="G27" s="105" t="s">
        <v>3</v>
      </c>
      <c r="H27" s="393"/>
      <c r="I27" s="394"/>
      <c r="J27" s="395"/>
      <c r="K27" s="389"/>
      <c r="L27" s="390"/>
      <c r="M27" s="390"/>
      <c r="N27" s="391"/>
      <c r="Q27" s="315"/>
      <c r="R27" s="315"/>
      <c r="S27" s="315"/>
      <c r="T27" s="315"/>
      <c r="U27" s="315"/>
      <c r="V27" s="315"/>
      <c r="W27" s="315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181">
        <v>1</v>
      </c>
      <c r="AY27" s="181">
        <v>1</v>
      </c>
      <c r="AZ27" s="181" t="str">
        <f>IF(ISERROR(VALUE(REPLACE(N28,1,SEARCH("x",N28),""))),N28,VALUE(REPLACE(N28,1,SEARCH("x",N28),"")))</f>
        <v/>
      </c>
      <c r="BA27" s="181" t="e">
        <f>VLOOKUP(AZ27,AX27:AY34,2,FALSE)</f>
        <v>#N/A</v>
      </c>
      <c r="BB27" s="181"/>
      <c r="BC27" s="181"/>
    </row>
    <row r="28" spans="1:55" ht="15" customHeight="1" x14ac:dyDescent="0.2">
      <c r="A28" s="4"/>
      <c r="C28" s="446" t="s">
        <v>32</v>
      </c>
      <c r="D28" s="447"/>
      <c r="E28" s="448"/>
      <c r="F28" s="168" t="str">
        <f>IF(X11&lt;1,"",X11)</f>
        <v/>
      </c>
      <c r="G28" s="178" t="str">
        <f>IF(COUNT(AB12:AB21)=0,"",COUNT(AB12:AB21))</f>
        <v/>
      </c>
      <c r="H28" s="393"/>
      <c r="I28" s="394"/>
      <c r="J28" s="395"/>
      <c r="K28" s="187" t="s">
        <v>133</v>
      </c>
      <c r="L28" s="188"/>
      <c r="M28" s="188"/>
      <c r="N28" s="189" t="str">
        <f>IF(ISERROR(VLOOKUP(VLOOKUP($Z$12,$V$12:$W$21,2,FALSE),'Step 1 - Load Sizing'!$A$8:$E$17,5,FALSE)),"",VLOOKUP(VLOOKUP($Z$12,$V$12:$W$21,2,FALSE),'Step 1 - Load Sizing'!$A$8:$E$17,5,FALSE))</f>
        <v/>
      </c>
      <c r="O28" s="384" t="str">
        <f>IF(Z12=0,"No Home Selected",CONCATENATE("Home ",G46," Selected"))</f>
        <v>Home A Selected</v>
      </c>
      <c r="Q28" s="315"/>
      <c r="R28" s="315"/>
      <c r="S28" s="315"/>
      <c r="T28" s="315"/>
      <c r="U28" s="315"/>
      <c r="V28" s="315"/>
      <c r="W28" s="315"/>
      <c r="X28" s="28"/>
      <c r="Y28" s="28" t="b">
        <f>(VLOOKUP(Z12,V12:Y21,4))</f>
        <v>0</v>
      </c>
      <c r="Z28" s="28"/>
      <c r="AA28" s="28"/>
      <c r="AB28" s="28"/>
      <c r="AC28" s="28"/>
      <c r="AD28" s="28"/>
      <c r="AE28" s="28"/>
      <c r="AF28" s="28" t="s">
        <v>28</v>
      </c>
      <c r="AG28" s="28"/>
      <c r="AH28" s="28"/>
      <c r="AI28" s="28"/>
      <c r="AJ28" s="28"/>
      <c r="AK28" s="28" t="s">
        <v>29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181">
        <v>1.5</v>
      </c>
      <c r="AY28" s="181">
        <v>2</v>
      </c>
      <c r="AZ28" s="181"/>
      <c r="BA28" s="181"/>
      <c r="BB28" s="181"/>
      <c r="BC28" s="181"/>
    </row>
    <row r="29" spans="1:55" ht="15" customHeight="1" x14ac:dyDescent="0.2">
      <c r="A29" s="4"/>
      <c r="C29" s="443" t="s">
        <v>35</v>
      </c>
      <c r="D29" s="444"/>
      <c r="E29" s="445"/>
      <c r="F29" s="102">
        <f>AI30</f>
        <v>10</v>
      </c>
      <c r="G29" s="34">
        <f>IF(AI30=0,"",AI30)</f>
        <v>10</v>
      </c>
      <c r="K29" s="187" t="s">
        <v>35</v>
      </c>
      <c r="L29" s="188"/>
      <c r="M29" s="188"/>
      <c r="N29" s="190">
        <f>$F$29</f>
        <v>10</v>
      </c>
      <c r="O29" s="384"/>
      <c r="Q29" s="315"/>
      <c r="R29" s="315"/>
      <c r="S29" s="315"/>
      <c r="T29" s="315"/>
      <c r="U29" s="315"/>
      <c r="V29" s="315"/>
      <c r="W29" s="315"/>
      <c r="X29" s="28"/>
      <c r="Y29" s="315" t="b">
        <f>ISERROR(Y28)</f>
        <v>0</v>
      </c>
      <c r="Z29" s="28"/>
      <c r="AA29" s="28"/>
      <c r="AB29" s="28"/>
      <c r="AC29" s="28"/>
      <c r="AD29" s="28"/>
      <c r="AE29" s="28"/>
      <c r="AF29" s="28">
        <v>1</v>
      </c>
      <c r="AG29" s="28">
        <v>10</v>
      </c>
      <c r="AH29" s="28"/>
      <c r="AI29" s="28">
        <f>'Step 2 - Transformer Sizing'!Z8</f>
        <v>1</v>
      </c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181">
        <v>2</v>
      </c>
      <c r="AY29" s="181">
        <v>3</v>
      </c>
      <c r="AZ29" s="181"/>
      <c r="BA29" s="181"/>
      <c r="BB29" s="181"/>
      <c r="BC29" s="181"/>
    </row>
    <row r="30" spans="1:55" ht="15" customHeight="1" x14ac:dyDescent="0.2">
      <c r="A30" s="4"/>
      <c r="C30" s="443" t="s">
        <v>36</v>
      </c>
      <c r="D30" s="444"/>
      <c r="E30" s="445"/>
      <c r="F30" s="169" t="e">
        <f>ROUND(AA23,1)</f>
        <v>#VALUE!</v>
      </c>
      <c r="G30" s="214" t="e">
        <f>ROUND(AB23,1)</f>
        <v>#VALUE!</v>
      </c>
      <c r="K30" s="187" t="s">
        <v>134</v>
      </c>
      <c r="L30" s="188"/>
      <c r="M30" s="188"/>
      <c r="N30" s="191" t="str">
        <f>IF(ISERROR(VLOOKUP($AZ$27,'Voltage Flicker Data'!$B$7:$C$14,2,FALSE)),"",VLOOKUP($AZ$27,'Voltage Flicker Data'!$B$7:$C$14,2,FALSE))</f>
        <v/>
      </c>
      <c r="O30" s="384"/>
      <c r="Q30" s="315"/>
      <c r="R30" s="315"/>
      <c r="S30" s="315"/>
      <c r="T30" s="315"/>
      <c r="U30" s="315"/>
      <c r="V30" s="315"/>
      <c r="W30" s="315"/>
      <c r="X30" s="28"/>
      <c r="Y30" s="28" t="b">
        <v>0</v>
      </c>
      <c r="Z30" s="28"/>
      <c r="AA30" s="28"/>
      <c r="AB30" s="28"/>
      <c r="AC30" s="28"/>
      <c r="AD30" s="28"/>
      <c r="AE30" s="28"/>
      <c r="AF30" s="28">
        <v>2</v>
      </c>
      <c r="AG30" s="28">
        <v>15</v>
      </c>
      <c r="AH30" s="28"/>
      <c r="AI30" s="28">
        <f>IF(ISERROR(VLOOKUP(AI29,AF29:AG36,2)),"",VLOOKUP(AI29,AF29:AG36,2))</f>
        <v>10</v>
      </c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181">
        <v>2.5</v>
      </c>
      <c r="AY30" s="181">
        <v>4</v>
      </c>
      <c r="AZ30" s="181"/>
      <c r="BA30" s="181"/>
      <c r="BB30" s="181"/>
      <c r="BC30" s="181"/>
    </row>
    <row r="31" spans="1:55" ht="15" customHeight="1" thickBot="1" x14ac:dyDescent="0.25">
      <c r="A31" s="4"/>
      <c r="C31" s="440" t="s">
        <v>40</v>
      </c>
      <c r="D31" s="441"/>
      <c r="E31" s="442"/>
      <c r="F31" s="215" t="str">
        <f>IFERROR(IF('Step 2 - Transformer Sizing'!P15,VLOOKUP(F30,'Voltage Drop Table'!A10:K255,11),IF(ISERROR(VLOOKUP(AI29,AF29:AG36,2)),"",VLOOKUP(F30,'Voltage Drop Table'!A10:J255,AI29+2))),"")</f>
        <v/>
      </c>
      <c r="G31" s="215" t="str">
        <f>IFERROR(IF('Step 2 - Transformer Sizing'!P15,VLOOKUP(G30,'Voltage Drop Table'!A10:K255,11),IF(ISERROR(VLOOKUP(AI29,AF29:AG36,2)),"",VLOOKUP(G30,'Voltage Drop Table'!A10:J255,AI29+2))),"")</f>
        <v/>
      </c>
      <c r="K31" s="192" t="s">
        <v>143</v>
      </c>
      <c r="L31" s="193"/>
      <c r="M31" s="193"/>
      <c r="N31" s="194" t="str">
        <f>IF('Step 2 - Transformer Sizing'!P15,HLOOKUP("User Def",'Voltage Flicker Data'!B6:L14,$BA$27+1,FALSE),IF(ISERROR(IF($BA$27=0,"",IF(ISERROR(HLOOKUP($AZ$36,'Voltage Flicker Data'!$D$6:$K$14,$BA$27+1,FALSE)),"",HLOOKUP($AZ$36,'Voltage Flicker Data'!$D$6:$K$14,$BA$27+1,FALSE)))),"",IF($BA$27=0,"",IF(ISERROR(HLOOKUP($AZ$36,'Voltage Flicker Data'!$D$6:$K$14,$BA$27+1,FALSE)),"",HLOOKUP($AZ$36,'Voltage Flicker Data'!$D$6:$K$14,$BA$27+1,FALSE)))))</f>
        <v/>
      </c>
      <c r="O31" s="384"/>
      <c r="Q31" s="315"/>
      <c r="R31" s="315"/>
      <c r="S31" s="315"/>
      <c r="T31" s="315"/>
      <c r="U31" s="315"/>
      <c r="V31" s="315"/>
      <c r="W31" s="315"/>
      <c r="X31" s="28"/>
      <c r="Y31" s="28" t="b">
        <f>IF(AND(INDEX(Y12:Y21,2),Y30),TRUE,FALSE)</f>
        <v>0</v>
      </c>
      <c r="Z31" s="28"/>
      <c r="AA31" s="28"/>
      <c r="AB31" s="28"/>
      <c r="AC31" s="28"/>
      <c r="AD31" s="28"/>
      <c r="AE31" s="28"/>
      <c r="AF31" s="28">
        <v>3</v>
      </c>
      <c r="AG31" s="28">
        <v>25</v>
      </c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181">
        <v>3</v>
      </c>
      <c r="AY31" s="181">
        <v>5</v>
      </c>
      <c r="AZ31" s="181"/>
      <c r="BA31" s="181"/>
      <c r="BB31" s="181"/>
      <c r="BC31" s="181"/>
    </row>
    <row r="32" spans="1:55" ht="15" customHeight="1" thickBot="1" x14ac:dyDescent="0.25">
      <c r="A32" s="4"/>
      <c r="B32" s="4"/>
      <c r="C32" s="4"/>
      <c r="D32" s="4"/>
      <c r="E32" s="71"/>
      <c r="F32" s="71"/>
      <c r="G32" s="42"/>
      <c r="H32" s="281"/>
      <c r="I32" s="281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28"/>
      <c r="AF32" s="28">
        <v>4</v>
      </c>
      <c r="AG32" s="28">
        <v>37.5</v>
      </c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181">
        <v>3.5</v>
      </c>
      <c r="AY32" s="181">
        <v>6</v>
      </c>
      <c r="AZ32" s="181"/>
      <c r="BA32" s="181"/>
      <c r="BB32" s="181"/>
      <c r="BC32" s="181"/>
    </row>
    <row r="33" spans="1:55" ht="15" customHeight="1" x14ac:dyDescent="0.2">
      <c r="A33" s="4"/>
      <c r="C33" s="432" t="s">
        <v>43</v>
      </c>
      <c r="D33" s="399"/>
      <c r="E33" s="399"/>
      <c r="F33" s="151"/>
      <c r="G33" s="151"/>
      <c r="H33" s="195"/>
      <c r="I33" s="186"/>
      <c r="K33" s="386" t="s">
        <v>135</v>
      </c>
      <c r="L33" s="387"/>
      <c r="M33" s="387"/>
      <c r="N33" s="388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28"/>
      <c r="AF33" s="28">
        <v>5</v>
      </c>
      <c r="AG33" s="28">
        <v>50</v>
      </c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181">
        <v>4</v>
      </c>
      <c r="AY33" s="181">
        <v>7</v>
      </c>
      <c r="AZ33" s="181"/>
      <c r="BA33" s="181"/>
      <c r="BB33" s="181"/>
      <c r="BC33" s="181"/>
    </row>
    <row r="34" spans="1:55" ht="15" customHeight="1" thickBot="1" x14ac:dyDescent="0.25">
      <c r="A34" s="4"/>
      <c r="C34" s="434"/>
      <c r="D34" s="435"/>
      <c r="E34" s="435"/>
      <c r="F34" s="156" t="s">
        <v>1</v>
      </c>
      <c r="G34" s="156" t="s">
        <v>3</v>
      </c>
      <c r="H34" s="195"/>
      <c r="I34" s="186"/>
      <c r="K34" s="389"/>
      <c r="L34" s="390"/>
      <c r="M34" s="390"/>
      <c r="N34" s="39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28"/>
      <c r="AF34" s="28">
        <v>6</v>
      </c>
      <c r="AG34" s="28">
        <v>75</v>
      </c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181">
        <v>5</v>
      </c>
      <c r="AY34" s="181">
        <v>8</v>
      </c>
      <c r="AZ34" s="181"/>
      <c r="BA34" s="181"/>
      <c r="BB34" s="181"/>
      <c r="BC34" s="181"/>
    </row>
    <row r="35" spans="1:55" ht="15" customHeight="1" x14ac:dyDescent="0.2">
      <c r="A35" s="4"/>
      <c r="C35" s="33" t="s">
        <v>44</v>
      </c>
      <c r="D35" s="32"/>
      <c r="E35" s="32"/>
      <c r="F35" s="102" t="str">
        <f>IF(COUNT($AC$12:$AC$20)=0,"",COUNT($AC$12:$AC$20))</f>
        <v/>
      </c>
      <c r="G35" s="144" t="str">
        <f>IF(COUNT($AD$12:$AD$21)=0,"",COUNT($AD$12:$AD$20))</f>
        <v/>
      </c>
      <c r="H35" s="486" t="str">
        <f>_xlfn.IFS($Y$29=TRUE,"",$Y$28&lt;&gt;TRUE,"Service is not connected to the Secondary",Y31,"Home is still connected to secondary",TRUE,"")</f>
        <v>Service is not connected to the Secondary</v>
      </c>
      <c r="I35" s="487"/>
      <c r="J35" s="488"/>
      <c r="K35" s="187" t="s">
        <v>134</v>
      </c>
      <c r="L35" s="188"/>
      <c r="M35" s="188"/>
      <c r="N35" s="196" t="str">
        <f>IF(Y30,"",$N$30)</f>
        <v/>
      </c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28"/>
      <c r="AF35" s="28">
        <v>7</v>
      </c>
      <c r="AG35" s="28">
        <v>100</v>
      </c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181" t="s">
        <v>125</v>
      </c>
      <c r="AY35" s="181"/>
      <c r="AZ35" s="181" t="s">
        <v>126</v>
      </c>
      <c r="BA35" s="181"/>
      <c r="BB35" s="181"/>
      <c r="BC35" s="181"/>
    </row>
    <row r="36" spans="1:55" ht="15" customHeight="1" x14ac:dyDescent="0.2">
      <c r="A36" s="4"/>
      <c r="C36" s="33" t="s">
        <v>45</v>
      </c>
      <c r="D36" s="32"/>
      <c r="E36" s="32"/>
      <c r="F36" s="102"/>
      <c r="G36" s="144" t="str">
        <f>IF(Y30,"",IF($AK$46&lt;1,"",VLOOKUP($AK$46,$AI$46:$AJ$53,2)))</f>
        <v>4/0 TPX</v>
      </c>
      <c r="H36" s="486"/>
      <c r="I36" s="487"/>
      <c r="J36" s="488"/>
      <c r="K36" s="187" t="s">
        <v>144</v>
      </c>
      <c r="L36" s="188"/>
      <c r="M36" s="188"/>
      <c r="N36" s="190" t="str">
        <f>IF(Y30,"",$G$36)</f>
        <v>4/0 TPX</v>
      </c>
      <c r="O36" s="138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28"/>
      <c r="AF36" s="28">
        <v>8</v>
      </c>
      <c r="AG36" s="28">
        <v>167</v>
      </c>
      <c r="AH36" s="28"/>
      <c r="AI36" s="28" t="s">
        <v>37</v>
      </c>
      <c r="AJ36" s="28"/>
      <c r="AK36" s="28" t="s">
        <v>38</v>
      </c>
      <c r="AL36" s="28"/>
      <c r="AM36" s="28" t="s">
        <v>39</v>
      </c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181">
        <v>10</v>
      </c>
      <c r="AY36" s="181">
        <v>1</v>
      </c>
      <c r="AZ36" s="181">
        <f>F29</f>
        <v>10</v>
      </c>
      <c r="BA36" s="181">
        <f>VLOOKUP(AZ36,AX36:AY43,2,FALSE)</f>
        <v>1</v>
      </c>
      <c r="BB36" s="181"/>
      <c r="BC36" s="181"/>
    </row>
    <row r="37" spans="1:55" ht="15" customHeight="1" x14ac:dyDescent="0.2">
      <c r="A37" s="4"/>
      <c r="C37" s="33" t="s">
        <v>46</v>
      </c>
      <c r="D37" s="32"/>
      <c r="E37" s="32"/>
      <c r="F37" s="103">
        <f>IF(Y30,"",G37)</f>
        <v>120</v>
      </c>
      <c r="G37" s="145">
        <f>IF(Y30,"",IF($AK$50=0,"",$AK$50))</f>
        <v>120</v>
      </c>
      <c r="H37" s="486"/>
      <c r="I37" s="487"/>
      <c r="J37" s="488"/>
      <c r="K37" s="187" t="s">
        <v>46</v>
      </c>
      <c r="L37" s="188"/>
      <c r="M37" s="188"/>
      <c r="N37" s="142">
        <f>IF(Y30,"",$F$37)</f>
        <v>120</v>
      </c>
      <c r="O37" s="137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28"/>
      <c r="AF37" s="28"/>
      <c r="AG37" s="28"/>
      <c r="AH37" s="28"/>
      <c r="AI37" s="28"/>
      <c r="AJ37" s="28">
        <v>1</v>
      </c>
      <c r="AK37" s="28">
        <v>4</v>
      </c>
      <c r="AL37" s="28"/>
      <c r="AM37" s="41" t="e">
        <f>ROUND(G30,0)</f>
        <v>#VALUE!</v>
      </c>
      <c r="AN37" s="28" t="s">
        <v>41</v>
      </c>
      <c r="AO37" s="28"/>
      <c r="AP37" s="28"/>
      <c r="AQ37" s="28"/>
      <c r="AR37" s="28"/>
      <c r="AS37" s="28"/>
      <c r="AT37" s="28"/>
      <c r="AU37" s="28"/>
      <c r="AV37" s="28"/>
      <c r="AW37" s="28"/>
      <c r="AX37" s="181">
        <v>15</v>
      </c>
      <c r="AY37" s="181">
        <v>2</v>
      </c>
      <c r="AZ37" s="181"/>
      <c r="BA37" s="181"/>
      <c r="BB37" s="181"/>
      <c r="BC37" s="181"/>
    </row>
    <row r="38" spans="1:55" ht="15" customHeight="1" x14ac:dyDescent="0.2">
      <c r="A38" s="4"/>
      <c r="C38" s="33" t="s">
        <v>47</v>
      </c>
      <c r="D38" s="30"/>
      <c r="E38" s="30"/>
      <c r="F38" s="216" t="e">
        <f>ROUND(IF($AC$22=0,"",IF($Y$28&lt;&gt;TRUE,"",IF(MAX($AI$12:$AI$21)=50,"",$AC$23))),1)</f>
        <v>#VALUE!</v>
      </c>
      <c r="G38" s="217" t="e">
        <f>ROUND(IF($AD$22=0,"",IF($Y$28&lt;&gt;TRUE,"",IF(MAX($AI$12:$AI$21)=50,"",$AD$23))),1)</f>
        <v>#VALUE!</v>
      </c>
      <c r="H38" s="195"/>
      <c r="I38" s="186"/>
      <c r="K38" s="187" t="s">
        <v>145</v>
      </c>
      <c r="L38" s="188"/>
      <c r="M38" s="188"/>
      <c r="N38" s="197" t="str">
        <f>IF(Y30,"",IF(ISERROR(HLOOKUP($AZ$45,'Voltage Flicker Data'!$M$6:$T$14, $BA$27+1, FALSE)),"",(HLOOKUP($AZ$45,'Voltage Flicker Data'!$M$6:$T$14, $BA$27+1, FALSE))))</f>
        <v/>
      </c>
      <c r="O38" s="137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28"/>
      <c r="AF38" s="28"/>
      <c r="AG38" s="28"/>
      <c r="AH38" s="28"/>
      <c r="AI38" s="28"/>
      <c r="AJ38" s="28">
        <v>2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181">
        <v>25</v>
      </c>
      <c r="AY38" s="181">
        <v>3</v>
      </c>
      <c r="AZ38" s="181"/>
      <c r="BA38" s="181"/>
      <c r="BB38" s="181"/>
      <c r="BC38" s="181"/>
    </row>
    <row r="39" spans="1:55" ht="15" customHeight="1" thickBot="1" x14ac:dyDescent="0.25">
      <c r="A39" s="4"/>
      <c r="C39" s="33" t="s">
        <v>53</v>
      </c>
      <c r="D39" s="32"/>
      <c r="E39" s="32"/>
      <c r="F39" s="218" t="str">
        <f>IF($AK$46="","",IF(ISERROR(VLOOKUP(F38,'Voltage Drop Table'!$A$10:$S$255,$AK$46+10)),"",VLOOKUP(F38,'Voltage Drop Table'!$A$10:$S$255,$AK$46+11)))</f>
        <v/>
      </c>
      <c r="G39" s="219" t="str">
        <f>IF($AK$46="","",IF(ISERROR(VLOOKUP(G38,'Voltage Drop Table'!$A$10:$S$255,$AK$46+10)),"",VLOOKUP(G38,'Voltage Drop Table'!$A$10:$S$255,$AK$46+11)))</f>
        <v/>
      </c>
      <c r="H39" s="195"/>
      <c r="I39" s="186"/>
      <c r="K39" s="187" t="s">
        <v>146</v>
      </c>
      <c r="L39" s="188"/>
      <c r="M39" s="188"/>
      <c r="N39" s="198" t="str">
        <f>IF(Y30,"",IF(ISERROR((N38*G37)/100),"",(N38*G37)/100))</f>
        <v/>
      </c>
      <c r="O39" s="137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28"/>
      <c r="AF39" s="28"/>
      <c r="AG39" s="28"/>
      <c r="AH39" s="28"/>
      <c r="AI39" s="28"/>
      <c r="AJ39" s="28">
        <v>3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181">
        <v>37.5</v>
      </c>
      <c r="AY39" s="181">
        <v>4</v>
      </c>
      <c r="AZ39" s="181"/>
      <c r="BA39" s="181"/>
      <c r="BB39" s="181"/>
      <c r="BC39" s="181"/>
    </row>
    <row r="40" spans="1:55" ht="15" customHeight="1" thickBot="1" x14ac:dyDescent="0.35">
      <c r="A40" s="4"/>
      <c r="C40" s="33" t="s">
        <v>55</v>
      </c>
      <c r="D40" s="32"/>
      <c r="E40" s="32"/>
      <c r="F40" s="220" t="str">
        <f>IF(ISERROR((F39*$AK$50)/100),"",IF(Y30=TRUE,0,(F39*$AK$50)/100))</f>
        <v/>
      </c>
      <c r="G40" s="221" t="str">
        <f>IF(ISERROR((G39*$AK$50)/100),"",IF(Y30=TRUE,0,G39*$AK$50)/100)</f>
        <v/>
      </c>
      <c r="H40" s="33"/>
      <c r="I40" s="32"/>
      <c r="K40" s="199"/>
      <c r="L40" s="200"/>
      <c r="M40" s="200"/>
      <c r="N40" s="201"/>
      <c r="O40" s="139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28"/>
      <c r="AF40" s="28"/>
      <c r="AG40" s="28"/>
      <c r="AH40" s="28"/>
      <c r="AI40" s="28"/>
      <c r="AJ40" s="28">
        <v>4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181">
        <v>50</v>
      </c>
      <c r="AY40" s="181">
        <v>5</v>
      </c>
      <c r="AZ40" s="181"/>
      <c r="BA40" s="181"/>
      <c r="BB40" s="181"/>
      <c r="BC40" s="181"/>
    </row>
    <row r="41" spans="1:55" ht="15" customHeight="1" x14ac:dyDescent="0.3">
      <c r="A41" s="4"/>
      <c r="C41" s="43"/>
      <c r="D41" s="44"/>
      <c r="E41" s="44"/>
      <c r="F41" s="44"/>
      <c r="G41" s="170"/>
      <c r="H41" s="437" t="str">
        <f>IF(MAX(AI12:AI21)=50,"House on Pedestal not on Transformer","")</f>
        <v/>
      </c>
      <c r="I41" s="438"/>
      <c r="K41" s="187"/>
      <c r="L41" s="188"/>
      <c r="M41" s="188"/>
      <c r="N41" s="202"/>
      <c r="O41" s="139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28"/>
      <c r="AF41" s="28"/>
      <c r="AG41" s="28"/>
      <c r="AH41" s="28"/>
      <c r="AI41" s="28"/>
      <c r="AJ41" s="28">
        <v>5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181">
        <v>75</v>
      </c>
      <c r="AY41" s="181">
        <v>6</v>
      </c>
      <c r="AZ41" s="181"/>
      <c r="BA41" s="181"/>
      <c r="BB41" s="181"/>
      <c r="BC41" s="181"/>
    </row>
    <row r="42" spans="1:55" ht="15" customHeight="1" thickBot="1" x14ac:dyDescent="0.25">
      <c r="A42" s="4"/>
      <c r="C42" s="46"/>
      <c r="D42" s="47"/>
      <c r="E42" s="47"/>
      <c r="F42" s="47"/>
      <c r="G42" s="47"/>
      <c r="H42" s="437"/>
      <c r="I42" s="438"/>
      <c r="K42" s="203"/>
      <c r="L42" s="204"/>
      <c r="M42" s="204"/>
      <c r="N42" s="20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28"/>
      <c r="AF42" s="28"/>
      <c r="AG42" s="28"/>
      <c r="AH42" s="28"/>
      <c r="AI42" s="28"/>
      <c r="AJ42" s="28">
        <v>6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181">
        <v>100</v>
      </c>
      <c r="AY42" s="181">
        <v>7</v>
      </c>
      <c r="AZ42" s="181"/>
      <c r="BA42" s="181"/>
      <c r="BB42" s="181"/>
      <c r="BC42" s="181"/>
    </row>
    <row r="43" spans="1:55" ht="15" customHeight="1" thickBot="1" x14ac:dyDescent="0.25">
      <c r="A43" s="4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28"/>
      <c r="AF43" s="28"/>
      <c r="AG43" s="28"/>
      <c r="AH43" s="28"/>
      <c r="AI43" s="28"/>
      <c r="AJ43" s="28">
        <v>7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181">
        <v>167</v>
      </c>
      <c r="AY43" s="181">
        <v>8</v>
      </c>
      <c r="AZ43" s="181"/>
      <c r="BA43" s="181"/>
      <c r="BB43" s="181"/>
      <c r="BC43" s="181"/>
    </row>
    <row r="44" spans="1:55" ht="15" customHeight="1" x14ac:dyDescent="0.2">
      <c r="A44" s="4"/>
      <c r="C44" s="432" t="s">
        <v>109</v>
      </c>
      <c r="D44" s="399"/>
      <c r="E44" s="399"/>
      <c r="F44" s="75"/>
      <c r="G44" s="75"/>
      <c r="H44" s="195"/>
      <c r="I44" s="186"/>
      <c r="K44" s="386" t="s">
        <v>136</v>
      </c>
      <c r="L44" s="387"/>
      <c r="M44" s="387"/>
      <c r="N44" s="388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28"/>
      <c r="AF44" s="28"/>
      <c r="AG44" s="28"/>
      <c r="AH44" s="28"/>
      <c r="AI44" s="28"/>
      <c r="AJ44" s="28">
        <v>8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181" t="s">
        <v>127</v>
      </c>
      <c r="AY44" s="181"/>
      <c r="AZ44" s="181" t="s">
        <v>128</v>
      </c>
      <c r="BA44" s="181"/>
      <c r="BB44" s="181"/>
      <c r="BC44" s="181"/>
    </row>
    <row r="45" spans="1:55" ht="15" customHeight="1" thickBot="1" x14ac:dyDescent="0.25">
      <c r="A45" s="4"/>
      <c r="C45" s="434"/>
      <c r="D45" s="435"/>
      <c r="E45" s="435"/>
      <c r="F45" s="152" t="s">
        <v>1</v>
      </c>
      <c r="G45" s="152" t="s">
        <v>3</v>
      </c>
      <c r="H45" s="195"/>
      <c r="I45" s="186"/>
      <c r="K45" s="389"/>
      <c r="L45" s="390"/>
      <c r="M45" s="390"/>
      <c r="N45" s="391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28"/>
      <c r="AF45" s="28"/>
      <c r="AG45" s="28"/>
      <c r="AH45" s="28"/>
      <c r="AI45" s="28" t="s">
        <v>48</v>
      </c>
      <c r="AJ45" s="28"/>
      <c r="AK45" s="28"/>
      <c r="AL45" s="28"/>
      <c r="AM45" s="28" t="s">
        <v>50</v>
      </c>
      <c r="AN45" s="28"/>
      <c r="AO45" s="28" t="s">
        <v>51</v>
      </c>
      <c r="AP45" s="28"/>
      <c r="AQ45" s="28"/>
      <c r="AR45" s="28"/>
      <c r="AS45" s="28" t="s">
        <v>52</v>
      </c>
      <c r="AT45" s="28"/>
      <c r="AU45" s="28"/>
      <c r="AV45" s="28"/>
      <c r="AW45" s="28"/>
      <c r="AX45" s="181" t="s">
        <v>54</v>
      </c>
      <c r="AY45" s="181">
        <v>1</v>
      </c>
      <c r="AZ45" s="181" t="str">
        <f>G36</f>
        <v>4/0 TPX</v>
      </c>
      <c r="BA45" s="181">
        <f>VLOOKUP(AZ45,AX45:AY52,2,FALSE)</f>
        <v>4</v>
      </c>
      <c r="BB45" s="181"/>
      <c r="BC45" s="181"/>
    </row>
    <row r="46" spans="1:55" ht="15" customHeight="1" x14ac:dyDescent="0.2">
      <c r="A46" s="4"/>
      <c r="C46" s="33" t="s">
        <v>110</v>
      </c>
      <c r="D46" s="32"/>
      <c r="E46" s="32"/>
      <c r="F46" s="143" t="str">
        <f>IF($Z$12=0,"",VLOOKUP($Z$12,$V$12:$AB$21,2))</f>
        <v>A</v>
      </c>
      <c r="G46" s="171" t="str">
        <f>IF($Z$12=0,"",VLOOKUP($Z$12,$V$12:$AB$21,2))</f>
        <v>A</v>
      </c>
      <c r="H46" s="175"/>
      <c r="I46" s="136"/>
      <c r="K46" s="187" t="s">
        <v>134</v>
      </c>
      <c r="L46" s="188"/>
      <c r="M46" s="188"/>
      <c r="N46" s="196" t="str">
        <f>N30</f>
        <v/>
      </c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28"/>
      <c r="AF46" s="28"/>
      <c r="AG46" s="28"/>
      <c r="AH46" s="28"/>
      <c r="AI46" s="28">
        <v>1</v>
      </c>
      <c r="AJ46" s="28" t="s">
        <v>54</v>
      </c>
      <c r="AK46" s="28">
        <v>4</v>
      </c>
      <c r="AL46" s="28"/>
      <c r="AM46" s="28">
        <v>2</v>
      </c>
      <c r="AN46" s="28"/>
      <c r="AO46" s="41" t="e">
        <f>ROUND(G38,0)</f>
        <v>#VALUE!</v>
      </c>
      <c r="AP46" s="28"/>
      <c r="AQ46" s="28"/>
      <c r="AR46" s="28"/>
      <c r="AS46" s="28"/>
      <c r="AT46" s="28"/>
      <c r="AU46" s="28"/>
      <c r="AV46" s="28"/>
      <c r="AW46" s="28"/>
      <c r="AX46" s="181" t="s">
        <v>56</v>
      </c>
      <c r="AY46" s="181">
        <v>2</v>
      </c>
      <c r="AZ46" s="181"/>
      <c r="BA46" s="181"/>
      <c r="BB46" s="181"/>
      <c r="BC46" s="181"/>
    </row>
    <row r="47" spans="1:55" ht="15" customHeight="1" x14ac:dyDescent="0.2">
      <c r="A47" s="4"/>
      <c r="C47" s="33" t="s">
        <v>69</v>
      </c>
      <c r="D47" s="32"/>
      <c r="E47" s="32"/>
      <c r="F47" s="144"/>
      <c r="G47" s="144" t="str">
        <f>IF($AK$53&lt;1,"",VLOOKUP($AK$53,$AI$46:$AJ$53,2))</f>
        <v>1/0 TPX</v>
      </c>
      <c r="H47" s="175"/>
      <c r="I47" s="136"/>
      <c r="K47" s="187" t="s">
        <v>147</v>
      </c>
      <c r="L47" s="188"/>
      <c r="M47" s="188"/>
      <c r="N47" s="190" t="str">
        <f>G47</f>
        <v>1/0 TPX</v>
      </c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28"/>
      <c r="AF47" s="28"/>
      <c r="AG47" s="28"/>
      <c r="AH47" s="28"/>
      <c r="AI47" s="28">
        <v>2</v>
      </c>
      <c r="AJ47" s="28" t="s">
        <v>56</v>
      </c>
      <c r="AK47" s="28"/>
      <c r="AL47" s="28"/>
      <c r="AM47" s="28">
        <f>VLOOKUP(AM46,AT47:AT54,1,FALSE)</f>
        <v>2</v>
      </c>
      <c r="AN47" s="28"/>
      <c r="AO47" s="28"/>
      <c r="AP47" s="28"/>
      <c r="AQ47" s="28"/>
      <c r="AR47" s="28"/>
      <c r="AS47" s="28">
        <v>1</v>
      </c>
      <c r="AT47" s="28">
        <f>AS47</f>
        <v>1</v>
      </c>
      <c r="AU47" s="28"/>
      <c r="AV47" s="28"/>
      <c r="AW47" s="28"/>
      <c r="AX47" s="181" t="s">
        <v>57</v>
      </c>
      <c r="AY47" s="181">
        <v>3</v>
      </c>
      <c r="AZ47" s="181"/>
      <c r="BA47" s="181"/>
      <c r="BB47" s="181"/>
      <c r="BC47" s="181"/>
    </row>
    <row r="48" spans="1:55" ht="15" customHeight="1" x14ac:dyDescent="0.2">
      <c r="A48" s="2"/>
      <c r="C48" s="33" t="s">
        <v>70</v>
      </c>
      <c r="D48" s="32"/>
      <c r="E48" s="32"/>
      <c r="F48" s="145">
        <f>G48</f>
        <v>130</v>
      </c>
      <c r="G48" s="145">
        <f>IF($AK$55=0,"",$AK$55)</f>
        <v>130</v>
      </c>
      <c r="H48" s="175"/>
      <c r="I48" s="136"/>
      <c r="K48" s="187" t="s">
        <v>70</v>
      </c>
      <c r="L48" s="188"/>
      <c r="M48" s="188"/>
      <c r="N48" s="206">
        <f>F48</f>
        <v>130</v>
      </c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28"/>
      <c r="AF48" s="28"/>
      <c r="AG48" s="28"/>
      <c r="AH48" s="28"/>
      <c r="AI48" s="28">
        <v>3</v>
      </c>
      <c r="AJ48" s="28" t="s">
        <v>57</v>
      </c>
      <c r="AK48" s="28"/>
      <c r="AL48" s="28"/>
      <c r="AM48" s="28"/>
      <c r="AN48" s="28"/>
      <c r="AO48" s="28"/>
      <c r="AP48" s="28"/>
      <c r="AQ48" s="28"/>
      <c r="AR48" s="28"/>
      <c r="AS48" s="28">
        <f>IF($AK$37=1,"N/A",2)</f>
        <v>2</v>
      </c>
      <c r="AT48" s="28">
        <f t="shared" ref="AT48:AT55" si="6">AS48</f>
        <v>2</v>
      </c>
      <c r="AU48" s="28"/>
      <c r="AV48" s="28"/>
      <c r="AW48" s="28"/>
      <c r="AX48" s="181" t="s">
        <v>58</v>
      </c>
      <c r="AY48" s="181">
        <v>4</v>
      </c>
      <c r="AZ48" s="181"/>
      <c r="BA48" s="181"/>
      <c r="BB48" s="181"/>
      <c r="BC48" s="181"/>
    </row>
    <row r="49" spans="1:55" ht="15" customHeight="1" x14ac:dyDescent="0.2">
      <c r="A49" s="2"/>
      <c r="C49" s="33" t="s">
        <v>71</v>
      </c>
      <c r="D49" s="32"/>
      <c r="E49" s="32"/>
      <c r="F49" s="217" t="e">
        <f>IF($Z$12=0,"",ROUND(VLOOKUP($Z$12,$V$12:$AB$21,6),1))</f>
        <v>#VALUE!</v>
      </c>
      <c r="G49" s="320" t="e">
        <f>IF($Z$12=0,"",ROUND(VLOOKUP($Z$12,$V$12:$AB$21,7),1))</f>
        <v>#VALUE!</v>
      </c>
      <c r="H49" s="195"/>
      <c r="I49" s="186"/>
      <c r="K49" s="187" t="s">
        <v>145</v>
      </c>
      <c r="L49" s="188"/>
      <c r="M49" s="188"/>
      <c r="N49" s="197" t="str">
        <f>IF(ISERROR(HLOOKUP(AZ54,'Voltage Flicker Data'!M6:T14, BA27+1, FALSE)),"",(HLOOKUP(AZ54,'Voltage Flicker Data'!M6:T14, BA27+1, FALSE)))</f>
        <v/>
      </c>
      <c r="Q49" s="315"/>
      <c r="R49" s="315"/>
      <c r="S49" s="315"/>
      <c r="T49" s="315"/>
      <c r="U49" s="315"/>
      <c r="V49" s="315"/>
      <c r="W49" s="315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>
        <v>4</v>
      </c>
      <c r="AJ49" s="28" t="s">
        <v>58</v>
      </c>
      <c r="AK49" s="28"/>
      <c r="AL49" s="28"/>
      <c r="AM49" s="28"/>
      <c r="AN49" s="28"/>
      <c r="AO49" s="28"/>
      <c r="AP49" s="28"/>
      <c r="AQ49" s="28"/>
      <c r="AR49" s="28"/>
      <c r="AS49" s="28">
        <f>IF($AK$37&lt;=2,"N/A",3)</f>
        <v>3</v>
      </c>
      <c r="AT49" s="28">
        <f t="shared" si="6"/>
        <v>3</v>
      </c>
      <c r="AU49" s="28"/>
      <c r="AV49" s="28"/>
      <c r="AW49" s="28"/>
      <c r="AX49" s="181" t="s">
        <v>60</v>
      </c>
      <c r="AY49" s="181">
        <v>5</v>
      </c>
      <c r="AZ49" s="181"/>
      <c r="BA49" s="181"/>
      <c r="BB49" s="181"/>
      <c r="BC49" s="181"/>
    </row>
    <row r="50" spans="1:55" ht="15" customHeight="1" thickBot="1" x14ac:dyDescent="0.25">
      <c r="A50" s="2"/>
      <c r="C50" s="33" t="s">
        <v>53</v>
      </c>
      <c r="D50" s="32"/>
      <c r="E50" s="32"/>
      <c r="F50" s="219" t="str">
        <f>IF($AK$53="","",IF(ISERROR(VLOOKUP(F49,'Voltage Drop Table'!$A$10:$S$255,$AK$53+10)),"",VLOOKUP(F49,'Voltage Drop Table'!$A$10:$S$255,$AK$53+11)))</f>
        <v/>
      </c>
      <c r="G50" s="219" t="str">
        <f>IF($AK$53="","",IF(ISERROR(VLOOKUP(G49,'Voltage Drop Table'!$A$10:$S$255,$AK$53+10)),"",VLOOKUP(G49,'Voltage Drop Table'!$A$10:$S$255,$AK$53+11)))</f>
        <v/>
      </c>
      <c r="H50" s="195"/>
      <c r="I50" s="186"/>
      <c r="K50" s="187" t="s">
        <v>148</v>
      </c>
      <c r="L50" s="188"/>
      <c r="M50" s="188"/>
      <c r="N50" s="242" t="str">
        <f>IF(ISERROR((N49*G48)/100),"",(N49*G48)/100)</f>
        <v/>
      </c>
      <c r="Q50" s="315"/>
      <c r="R50" s="315"/>
      <c r="S50" s="315"/>
      <c r="T50" s="315"/>
      <c r="U50" s="315"/>
      <c r="V50" s="315"/>
      <c r="W50" s="315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>
        <v>5</v>
      </c>
      <c r="AJ50" s="28" t="s">
        <v>60</v>
      </c>
      <c r="AK50" s="28">
        <v>120</v>
      </c>
      <c r="AL50" s="28"/>
      <c r="AM50" s="28"/>
      <c r="AN50" s="28"/>
      <c r="AO50" s="28"/>
      <c r="AP50" s="28"/>
      <c r="AQ50" s="28"/>
      <c r="AR50" s="28"/>
      <c r="AS50" s="28">
        <f>IF($AK$37&lt;=3,"N/A",4)</f>
        <v>4</v>
      </c>
      <c r="AT50" s="28">
        <f t="shared" si="6"/>
        <v>4</v>
      </c>
      <c r="AU50" s="28"/>
      <c r="AV50" s="28"/>
      <c r="AW50" s="28"/>
      <c r="AX50" s="181" t="s">
        <v>61</v>
      </c>
      <c r="AY50" s="181">
        <v>6</v>
      </c>
      <c r="AZ50" s="181"/>
      <c r="BA50" s="181"/>
      <c r="BB50" s="181"/>
      <c r="BC50" s="181"/>
    </row>
    <row r="51" spans="1:55" ht="15" customHeight="1" thickBot="1" x14ac:dyDescent="0.25">
      <c r="A51" s="2"/>
      <c r="C51" s="33" t="s">
        <v>72</v>
      </c>
      <c r="D51" s="32"/>
      <c r="E51" s="32"/>
      <c r="F51" s="222" t="str">
        <f>IF(ISERROR((F50*$AK$55)/100),"",(F50*$AK$55)/100)</f>
        <v/>
      </c>
      <c r="G51" s="223" t="str">
        <f>IF(ISERROR((G50*$AK$55)/100),"",(G50*$AK$55)/100)</f>
        <v/>
      </c>
      <c r="H51" s="195"/>
      <c r="I51" s="186"/>
      <c r="K51" s="207"/>
      <c r="L51" s="208"/>
      <c r="M51" s="208"/>
      <c r="N51" s="209"/>
      <c r="Q51" s="315"/>
      <c r="R51" s="315"/>
      <c r="S51" s="315"/>
      <c r="T51" s="315"/>
      <c r="U51" s="315"/>
      <c r="V51" s="315"/>
      <c r="W51" s="315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>
        <v>6</v>
      </c>
      <c r="AJ51" s="28" t="s">
        <v>61</v>
      </c>
      <c r="AK51" s="28"/>
      <c r="AL51" s="28"/>
      <c r="AM51" s="28"/>
      <c r="AN51" s="28"/>
      <c r="AO51" s="28"/>
      <c r="AP51" s="28"/>
      <c r="AQ51" s="28"/>
      <c r="AR51" s="28"/>
      <c r="AS51" s="28" t="str">
        <f>IF($AK$37&lt;=4,"N/A",5)</f>
        <v>N/A</v>
      </c>
      <c r="AT51" s="28" t="str">
        <f t="shared" si="6"/>
        <v>N/A</v>
      </c>
      <c r="AU51" s="28"/>
      <c r="AV51" s="28"/>
      <c r="AW51" s="28"/>
      <c r="AX51" s="181" t="s">
        <v>63</v>
      </c>
      <c r="AY51" s="181">
        <v>7</v>
      </c>
      <c r="AZ51" s="181"/>
      <c r="BA51" s="181"/>
      <c r="BB51" s="181"/>
      <c r="BC51" s="181"/>
    </row>
    <row r="52" spans="1:55" ht="15" customHeight="1" x14ac:dyDescent="0.2">
      <c r="A52" s="2"/>
      <c r="C52" s="43"/>
      <c r="D52" s="44"/>
      <c r="E52" s="44"/>
      <c r="F52" s="44"/>
      <c r="G52" s="172"/>
      <c r="H52" s="173"/>
      <c r="I52" s="30"/>
      <c r="K52" s="210"/>
      <c r="L52" s="211"/>
      <c r="M52" s="211"/>
      <c r="N52" s="212"/>
      <c r="Q52" s="315"/>
      <c r="R52" s="315"/>
      <c r="S52" s="315"/>
      <c r="T52" s="315"/>
      <c r="U52" s="315"/>
      <c r="V52" s="315"/>
      <c r="W52" s="315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>
        <v>7</v>
      </c>
      <c r="AJ52" s="28" t="s">
        <v>63</v>
      </c>
      <c r="AK52" s="28"/>
      <c r="AL52" s="28"/>
      <c r="AM52" s="28" t="s">
        <v>65</v>
      </c>
      <c r="AN52" s="28"/>
      <c r="AO52" s="28" t="s">
        <v>66</v>
      </c>
      <c r="AP52" s="28"/>
      <c r="AQ52" s="28"/>
      <c r="AR52" s="28"/>
      <c r="AS52" s="28" t="str">
        <f>IF($AK$37&lt;=5,"N/A",6)</f>
        <v>N/A</v>
      </c>
      <c r="AT52" s="28" t="str">
        <f t="shared" si="6"/>
        <v>N/A</v>
      </c>
      <c r="AU52" s="28"/>
      <c r="AV52" s="28"/>
      <c r="AW52" s="28"/>
      <c r="AX52" s="181" t="s">
        <v>67</v>
      </c>
      <c r="AY52" s="181">
        <v>8</v>
      </c>
      <c r="AZ52" s="181"/>
      <c r="BA52" s="181"/>
      <c r="BB52" s="181"/>
      <c r="BC52" s="181"/>
    </row>
    <row r="53" spans="1:55" ht="15" customHeight="1" thickBot="1" x14ac:dyDescent="0.25">
      <c r="A53" s="2"/>
      <c r="C53" s="46"/>
      <c r="D53" s="47"/>
      <c r="E53" s="47"/>
      <c r="F53" s="47"/>
      <c r="G53" s="47"/>
      <c r="H53" s="173"/>
      <c r="I53" s="30"/>
      <c r="K53" s="46"/>
      <c r="L53" s="204"/>
      <c r="M53" s="204"/>
      <c r="N53" s="205"/>
      <c r="Q53" s="315"/>
      <c r="R53" s="315"/>
      <c r="S53" s="315"/>
      <c r="T53" s="315"/>
      <c r="U53" s="315"/>
      <c r="V53" s="315"/>
      <c r="W53" s="315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>
        <v>8</v>
      </c>
      <c r="AJ53" s="28" t="s">
        <v>67</v>
      </c>
      <c r="AK53" s="28">
        <v>3</v>
      </c>
      <c r="AL53" s="28"/>
      <c r="AM53" s="28"/>
      <c r="AN53" s="28"/>
      <c r="AO53" s="41" t="e">
        <f>ROUND(G49,0)</f>
        <v>#VALUE!</v>
      </c>
      <c r="AP53" s="28"/>
      <c r="AQ53" s="28"/>
      <c r="AR53" s="28"/>
      <c r="AS53" s="28" t="str">
        <f>IF($AK$37&lt;=6,"N/A",7)</f>
        <v>N/A</v>
      </c>
      <c r="AT53" s="28" t="str">
        <f t="shared" si="6"/>
        <v>N/A</v>
      </c>
      <c r="AU53" s="28"/>
      <c r="AV53" s="28"/>
      <c r="AW53" s="28"/>
      <c r="AX53" s="181" t="s">
        <v>129</v>
      </c>
      <c r="AY53" s="181"/>
      <c r="AZ53" s="181" t="s">
        <v>130</v>
      </c>
      <c r="BA53" s="181"/>
      <c r="BB53" s="181"/>
      <c r="BC53" s="181"/>
    </row>
    <row r="54" spans="1:55" ht="15" customHeight="1" thickBot="1" x14ac:dyDescent="0.25">
      <c r="A54" s="2"/>
      <c r="I54" s="2"/>
      <c r="J54" s="2"/>
      <c r="K54" s="2"/>
      <c r="L54" s="2"/>
      <c r="M54" s="2"/>
      <c r="N54" s="2"/>
      <c r="O54" s="2"/>
      <c r="P54" s="2"/>
      <c r="Q54" s="28"/>
      <c r="R54" s="28"/>
      <c r="S54" s="28"/>
      <c r="T54" s="28" t="s">
        <v>161</v>
      </c>
      <c r="U54" s="28" t="s">
        <v>162</v>
      </c>
      <c r="V54" s="28" t="s">
        <v>163</v>
      </c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>
        <v>1</v>
      </c>
      <c r="AN54" s="28"/>
      <c r="AO54" s="28"/>
      <c r="AP54" s="28"/>
      <c r="AQ54" s="28"/>
      <c r="AR54" s="28"/>
      <c r="AS54" s="28" t="str">
        <f>IF($AK$37&lt;=7,"N/A",8)</f>
        <v>N/A</v>
      </c>
      <c r="AT54" s="28" t="str">
        <f t="shared" si="6"/>
        <v>N/A</v>
      </c>
      <c r="AU54" s="28"/>
      <c r="AV54" s="28"/>
      <c r="AW54" s="28"/>
      <c r="AX54" s="181" t="s">
        <v>54</v>
      </c>
      <c r="AY54" s="181">
        <v>1</v>
      </c>
      <c r="AZ54" s="181" t="str">
        <f>G47</f>
        <v>1/0 TPX</v>
      </c>
      <c r="BA54" s="181">
        <f>VLOOKUP(AZ54,AX54:AY61,2,FALSE)</f>
        <v>3</v>
      </c>
      <c r="BB54" s="181"/>
      <c r="BC54" s="181"/>
    </row>
    <row r="55" spans="1:55" ht="15" customHeight="1" x14ac:dyDescent="0.2">
      <c r="A55" s="2"/>
      <c r="B55" s="137"/>
      <c r="C55" s="137"/>
      <c r="D55" s="137"/>
      <c r="E55" s="491" t="s">
        <v>158</v>
      </c>
      <c r="F55" s="492"/>
      <c r="G55" s="492"/>
      <c r="H55" s="492"/>
      <c r="I55" s="492"/>
      <c r="J55" s="492"/>
      <c r="K55" s="492"/>
      <c r="L55" s="493"/>
      <c r="M55" s="234"/>
      <c r="N55" s="234"/>
      <c r="O55" s="234"/>
      <c r="P55" s="141"/>
      <c r="Q55" s="28"/>
      <c r="R55" s="28" t="s">
        <v>158</v>
      </c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>
        <v>130</v>
      </c>
      <c r="AL55" s="28"/>
      <c r="AM55" s="28">
        <f>VLOOKUP(AM54,AT47:AT55,1,FALSE)</f>
        <v>1</v>
      </c>
      <c r="AN55" s="28"/>
      <c r="AO55" s="28"/>
      <c r="AP55" s="28"/>
      <c r="AQ55" s="28"/>
      <c r="AR55" s="28"/>
      <c r="AS55" s="28">
        <v>0</v>
      </c>
      <c r="AT55" s="28">
        <f t="shared" si="6"/>
        <v>0</v>
      </c>
      <c r="AU55" s="28"/>
      <c r="AV55" s="28"/>
      <c r="AW55" s="28"/>
      <c r="AX55" s="181" t="s">
        <v>56</v>
      </c>
      <c r="AY55" s="181">
        <v>2</v>
      </c>
      <c r="AZ55" s="181"/>
      <c r="BA55" s="181"/>
      <c r="BB55" s="181"/>
      <c r="BC55" s="181"/>
    </row>
    <row r="56" spans="1:55" ht="15" customHeight="1" x14ac:dyDescent="0.2">
      <c r="A56" s="30"/>
      <c r="B56" s="137"/>
      <c r="C56" s="137"/>
      <c r="D56" s="137"/>
      <c r="E56" s="494"/>
      <c r="F56" s="495"/>
      <c r="G56" s="495"/>
      <c r="H56" s="495"/>
      <c r="I56" s="495"/>
      <c r="J56" s="495"/>
      <c r="K56" s="495"/>
      <c r="L56" s="496"/>
      <c r="M56" s="234"/>
      <c r="N56" s="234"/>
      <c r="O56" s="234"/>
      <c r="P56" s="141"/>
      <c r="Q56" s="28"/>
      <c r="R56" s="28" t="s">
        <v>33</v>
      </c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181" t="s">
        <v>57</v>
      </c>
      <c r="AY56" s="181">
        <v>3</v>
      </c>
      <c r="AZ56" s="181"/>
      <c r="BA56" s="181"/>
      <c r="BB56" s="181"/>
      <c r="BC56" s="181"/>
    </row>
    <row r="57" spans="1:55" ht="15" customHeight="1" x14ac:dyDescent="0.2">
      <c r="A57" s="186"/>
      <c r="B57" s="137"/>
      <c r="C57" s="137"/>
      <c r="D57" s="137"/>
      <c r="E57" s="494"/>
      <c r="F57" s="495"/>
      <c r="G57" s="495"/>
      <c r="H57" s="495"/>
      <c r="I57" s="495"/>
      <c r="J57" s="495"/>
      <c r="K57" s="495"/>
      <c r="L57" s="496"/>
      <c r="M57" s="234"/>
      <c r="N57" s="234"/>
      <c r="O57" s="234"/>
      <c r="P57" s="141"/>
      <c r="Q57" s="28"/>
      <c r="R57" s="28" t="s">
        <v>160</v>
      </c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181" t="s">
        <v>58</v>
      </c>
      <c r="AY57" s="181">
        <v>4</v>
      </c>
      <c r="AZ57" s="181"/>
      <c r="BA57" s="181"/>
      <c r="BB57" s="181"/>
      <c r="BC57" s="181"/>
    </row>
    <row r="58" spans="1:55" ht="15" customHeight="1" x14ac:dyDescent="0.2">
      <c r="B58" s="236"/>
      <c r="C58" s="236"/>
      <c r="D58" s="236"/>
      <c r="E58" s="453" t="s">
        <v>164</v>
      </c>
      <c r="F58" s="449"/>
      <c r="G58" s="449" t="s">
        <v>165</v>
      </c>
      <c r="H58" s="449"/>
      <c r="I58" s="449" t="s">
        <v>166</v>
      </c>
      <c r="J58" s="449"/>
      <c r="K58" s="449" t="s">
        <v>167</v>
      </c>
      <c r="L58" s="451"/>
      <c r="M58" s="237"/>
      <c r="N58" s="240"/>
      <c r="O58" s="240"/>
      <c r="P58" s="141"/>
      <c r="Q58" s="28"/>
      <c r="R58" s="28" t="s">
        <v>159</v>
      </c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181" t="s">
        <v>60</v>
      </c>
      <c r="AY58" s="181">
        <v>5</v>
      </c>
      <c r="AZ58" s="181"/>
      <c r="BA58" s="181"/>
      <c r="BB58" s="181"/>
      <c r="BC58" s="181"/>
    </row>
    <row r="59" spans="1:55" ht="15" customHeight="1" thickBot="1" x14ac:dyDescent="0.25">
      <c r="B59" s="236"/>
      <c r="C59" s="236"/>
      <c r="D59" s="236"/>
      <c r="E59" s="454"/>
      <c r="F59" s="450"/>
      <c r="G59" s="450"/>
      <c r="H59" s="450"/>
      <c r="I59" s="450"/>
      <c r="J59" s="450"/>
      <c r="K59" s="450"/>
      <c r="L59" s="452"/>
      <c r="M59" s="237"/>
      <c r="N59" s="240"/>
      <c r="O59" s="240"/>
      <c r="P59" s="141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181" t="s">
        <v>61</v>
      </c>
      <c r="AY59" s="181">
        <v>6</v>
      </c>
      <c r="AZ59" s="181"/>
      <c r="BA59" s="181"/>
      <c r="BB59" s="181"/>
      <c r="BC59" s="181"/>
    </row>
    <row r="60" spans="1:55" ht="15" customHeight="1" x14ac:dyDescent="0.2">
      <c r="B60" s="236"/>
      <c r="C60" s="236"/>
      <c r="D60" s="236"/>
      <c r="E60" s="414" t="s">
        <v>33</v>
      </c>
      <c r="F60" s="415"/>
      <c r="G60" s="405" t="str">
        <f>F31</f>
        <v/>
      </c>
      <c r="H60" s="406"/>
      <c r="I60" s="405" t="str">
        <f>G31</f>
        <v/>
      </c>
      <c r="J60" s="406"/>
      <c r="K60" s="401" t="str">
        <f>N31</f>
        <v/>
      </c>
      <c r="L60" s="402"/>
      <c r="M60" s="237"/>
      <c r="N60" s="240"/>
      <c r="O60" s="240"/>
      <c r="P60" s="141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181" t="s">
        <v>63</v>
      </c>
      <c r="AY60" s="181">
        <v>7</v>
      </c>
      <c r="AZ60" s="181"/>
      <c r="BA60" s="181"/>
      <c r="BB60" s="181"/>
      <c r="BC60" s="181"/>
    </row>
    <row r="61" spans="1:55" ht="15" customHeight="1" x14ac:dyDescent="0.2">
      <c r="B61" s="236"/>
      <c r="C61" s="236"/>
      <c r="D61" s="236"/>
      <c r="E61" s="412"/>
      <c r="F61" s="413"/>
      <c r="G61" s="407"/>
      <c r="H61" s="407"/>
      <c r="I61" s="407"/>
      <c r="J61" s="407"/>
      <c r="K61" s="403"/>
      <c r="L61" s="404"/>
      <c r="M61" s="237"/>
      <c r="N61" s="240"/>
      <c r="O61" s="240"/>
      <c r="P61" s="14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181" t="s">
        <v>67</v>
      </c>
      <c r="AY61" s="181">
        <v>8</v>
      </c>
      <c r="AZ61" s="181"/>
      <c r="BA61" s="181"/>
      <c r="BB61" s="181"/>
      <c r="BC61" s="181"/>
    </row>
    <row r="62" spans="1:55" ht="15" customHeight="1" x14ac:dyDescent="0.2">
      <c r="B62" s="236"/>
      <c r="C62" s="236"/>
      <c r="D62" s="236"/>
      <c r="E62" s="412" t="s">
        <v>160</v>
      </c>
      <c r="F62" s="413"/>
      <c r="G62" s="428" t="str">
        <f>F40</f>
        <v/>
      </c>
      <c r="H62" s="429"/>
      <c r="I62" s="428" t="str">
        <f>G40</f>
        <v/>
      </c>
      <c r="J62" s="429"/>
      <c r="K62" s="425" t="str">
        <f>N39</f>
        <v/>
      </c>
      <c r="L62" s="426"/>
      <c r="M62" s="237"/>
      <c r="N62" s="240"/>
      <c r="O62" s="240"/>
      <c r="P62" s="141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181"/>
      <c r="AY62" s="181"/>
      <c r="AZ62" s="181"/>
      <c r="BA62" s="181"/>
      <c r="BB62" s="181"/>
      <c r="BC62" s="181"/>
    </row>
    <row r="63" spans="1:55" ht="15" customHeight="1" x14ac:dyDescent="0.2">
      <c r="B63" s="236"/>
      <c r="C63" s="236"/>
      <c r="D63" s="236"/>
      <c r="E63" s="412"/>
      <c r="F63" s="413"/>
      <c r="G63" s="429"/>
      <c r="H63" s="429"/>
      <c r="I63" s="429"/>
      <c r="J63" s="429"/>
      <c r="K63" s="427"/>
      <c r="L63" s="426"/>
      <c r="M63" s="237"/>
      <c r="N63" s="240"/>
      <c r="O63" s="240"/>
      <c r="P63" s="141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181"/>
      <c r="AY63" s="181"/>
      <c r="AZ63" s="181"/>
      <c r="BA63" s="181"/>
      <c r="BB63" s="181"/>
      <c r="BC63" s="181"/>
    </row>
    <row r="64" spans="1:55" ht="15" customHeight="1" x14ac:dyDescent="0.2">
      <c r="B64" s="236"/>
      <c r="C64" s="236"/>
      <c r="D64" s="236"/>
      <c r="E64" s="412" t="s">
        <v>159</v>
      </c>
      <c r="F64" s="413"/>
      <c r="G64" s="422" t="str">
        <f>F51</f>
        <v/>
      </c>
      <c r="H64" s="423"/>
      <c r="I64" s="422" t="str">
        <f>G51</f>
        <v/>
      </c>
      <c r="J64" s="423"/>
      <c r="K64" s="418" t="str">
        <f>N50</f>
        <v/>
      </c>
      <c r="L64" s="419"/>
      <c r="M64" s="237"/>
      <c r="N64" s="241"/>
      <c r="O64" s="241"/>
      <c r="P64" s="141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181"/>
      <c r="AY64" s="181"/>
      <c r="AZ64" s="181"/>
      <c r="BA64" s="181"/>
      <c r="BB64" s="181"/>
      <c r="BC64" s="181"/>
    </row>
    <row r="65" spans="2:55" ht="15" customHeight="1" thickBot="1" x14ac:dyDescent="0.25">
      <c r="B65" s="236"/>
      <c r="C65" s="236"/>
      <c r="D65" s="236"/>
      <c r="E65" s="489"/>
      <c r="F65" s="490"/>
      <c r="G65" s="424"/>
      <c r="H65" s="424"/>
      <c r="I65" s="424"/>
      <c r="J65" s="424"/>
      <c r="K65" s="420"/>
      <c r="L65" s="421"/>
      <c r="M65" s="237"/>
      <c r="N65" s="241"/>
      <c r="O65" s="241"/>
      <c r="P65" s="141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181"/>
      <c r="AY65" s="181"/>
      <c r="AZ65" s="181"/>
      <c r="BA65" s="181"/>
      <c r="BB65" s="181"/>
      <c r="BC65" s="181"/>
    </row>
    <row r="66" spans="2:55" ht="15" customHeight="1" x14ac:dyDescent="0.2">
      <c r="B66" s="235"/>
      <c r="C66" s="238"/>
      <c r="D66" s="238"/>
      <c r="E66" s="408" t="s">
        <v>95</v>
      </c>
      <c r="F66" s="409"/>
      <c r="G66" s="416" t="str">
        <f>IF(SUM(G60:H65)=0,"",SUM(G60:H65))</f>
        <v/>
      </c>
      <c r="H66" s="416"/>
      <c r="I66" s="416" t="str">
        <f t="shared" ref="I66" si="7">IF(SUM(I60:J65)=0,"",SUM(I60:J65))</f>
        <v/>
      </c>
      <c r="J66" s="416"/>
      <c r="K66" s="416" t="str">
        <f t="shared" ref="K66" si="8">IF(SUM(K60:L65)=0,"",SUM(K60:L65))</f>
        <v/>
      </c>
      <c r="L66" s="416"/>
      <c r="M66" s="239"/>
      <c r="N66" s="239"/>
      <c r="O66" s="239"/>
      <c r="P66" s="141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181"/>
      <c r="AY66" s="181"/>
      <c r="AZ66" s="181"/>
      <c r="BA66" s="181"/>
      <c r="BB66" s="181"/>
      <c r="BC66" s="181"/>
    </row>
    <row r="67" spans="2:55" ht="15" customHeight="1" thickBot="1" x14ac:dyDescent="0.25">
      <c r="B67" s="238"/>
      <c r="C67" s="238"/>
      <c r="D67" s="238"/>
      <c r="E67" s="410"/>
      <c r="F67" s="411"/>
      <c r="G67" s="417"/>
      <c r="H67" s="417"/>
      <c r="I67" s="417"/>
      <c r="J67" s="417"/>
      <c r="K67" s="417"/>
      <c r="L67" s="417"/>
      <c r="M67" s="239"/>
      <c r="N67" s="239"/>
      <c r="O67" s="239"/>
      <c r="P67" s="141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181"/>
      <c r="AY67" s="181"/>
      <c r="AZ67" s="181"/>
      <c r="BA67" s="181"/>
      <c r="BB67" s="181"/>
      <c r="BC67" s="181"/>
    </row>
    <row r="68" spans="2:55" ht="15" customHeight="1" x14ac:dyDescent="0.2">
      <c r="B68" s="238"/>
      <c r="C68" s="238"/>
      <c r="D68" s="238"/>
      <c r="E68" s="399" t="s">
        <v>168</v>
      </c>
      <c r="F68" s="399"/>
      <c r="G68" s="399"/>
      <c r="H68" s="399"/>
      <c r="I68" s="399"/>
      <c r="J68" s="399"/>
      <c r="K68" s="399"/>
      <c r="L68" s="399"/>
      <c r="M68" s="239"/>
      <c r="N68" s="239"/>
      <c r="O68" s="239"/>
      <c r="P68" s="141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181"/>
      <c r="AY68" s="181"/>
      <c r="AZ68" s="181"/>
      <c r="BA68" s="181"/>
      <c r="BB68" s="181"/>
      <c r="BC68" s="181"/>
    </row>
    <row r="69" spans="2:55" ht="15" customHeight="1" x14ac:dyDescent="0.3">
      <c r="B69" s="29"/>
      <c r="D69" s="233"/>
      <c r="E69" s="400"/>
      <c r="F69" s="400"/>
      <c r="G69" s="400"/>
      <c r="H69" s="400"/>
      <c r="I69" s="400"/>
      <c r="J69" s="400"/>
      <c r="K69" s="400"/>
      <c r="L69" s="400"/>
      <c r="M69" s="232"/>
      <c r="N69" s="232"/>
      <c r="O69" s="232"/>
      <c r="P69" s="2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181"/>
      <c r="AY69" s="181"/>
      <c r="AZ69" s="181"/>
      <c r="BA69" s="181"/>
      <c r="BB69" s="181"/>
      <c r="BC69" s="181"/>
    </row>
    <row r="70" spans="2:55" ht="15" customHeight="1" x14ac:dyDescent="0.3">
      <c r="C70" s="233"/>
      <c r="D70" s="233"/>
      <c r="E70" s="400"/>
      <c r="F70" s="400"/>
      <c r="G70" s="400"/>
      <c r="H70" s="400"/>
      <c r="I70" s="400"/>
      <c r="J70" s="400"/>
      <c r="K70" s="400"/>
      <c r="L70" s="400"/>
      <c r="M70" s="232"/>
      <c r="N70" s="232"/>
      <c r="O70" s="232"/>
      <c r="P70" s="2"/>
      <c r="Q70" s="2"/>
      <c r="R70" s="2"/>
      <c r="S70" s="2"/>
      <c r="T70" s="2"/>
      <c r="U70" s="2"/>
      <c r="V70" s="2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181"/>
      <c r="AY70" s="181"/>
      <c r="AZ70" s="181"/>
      <c r="BA70" s="181"/>
      <c r="BB70" s="181"/>
      <c r="BC70" s="181"/>
    </row>
    <row r="71" spans="2:55" ht="15" customHeight="1" x14ac:dyDescent="0.2">
      <c r="E71" s="400"/>
      <c r="F71" s="400"/>
      <c r="G71" s="400"/>
      <c r="H71" s="400"/>
      <c r="I71" s="400"/>
      <c r="J71" s="400"/>
      <c r="K71" s="400"/>
      <c r="L71" s="400"/>
      <c r="P71" s="2"/>
      <c r="Q71" s="2"/>
      <c r="R71" s="2"/>
      <c r="S71" s="2"/>
      <c r="T71" s="2"/>
      <c r="U71" s="2"/>
      <c r="V71" s="2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181"/>
      <c r="AY71" s="181"/>
      <c r="AZ71" s="181"/>
      <c r="BA71" s="181"/>
      <c r="BB71" s="181"/>
      <c r="BC71" s="181"/>
    </row>
    <row r="72" spans="2:55" ht="15" customHeight="1" x14ac:dyDescent="0.2">
      <c r="P72" s="2"/>
      <c r="Q72" s="2"/>
      <c r="R72" s="2"/>
      <c r="S72" s="2"/>
      <c r="T72" s="2"/>
      <c r="U72" s="2"/>
      <c r="V72" s="2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181"/>
      <c r="AY72" s="181"/>
      <c r="AZ72" s="181"/>
      <c r="BA72" s="181"/>
      <c r="BB72" s="181"/>
      <c r="BC72" s="181"/>
    </row>
    <row r="73" spans="2:55" ht="15" customHeight="1" x14ac:dyDescent="0.2">
      <c r="P73" s="2"/>
      <c r="Q73" s="2"/>
      <c r="R73" s="2"/>
      <c r="S73" s="2"/>
      <c r="T73" s="2"/>
      <c r="U73" s="2"/>
      <c r="V73" s="2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181"/>
      <c r="AY73" s="181"/>
      <c r="AZ73" s="181"/>
      <c r="BA73" s="181"/>
      <c r="BB73" s="181"/>
      <c r="BC73" s="181"/>
    </row>
    <row r="74" spans="2:55" ht="15" hidden="1" customHeight="1" x14ac:dyDescent="0.2">
      <c r="P74" s="2"/>
      <c r="Q74" s="2"/>
      <c r="R74" s="2"/>
      <c r="S74" s="2"/>
      <c r="T74" s="2"/>
      <c r="U74" s="2"/>
      <c r="V74" s="2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181"/>
      <c r="AY74" s="181"/>
      <c r="AZ74" s="181"/>
      <c r="BA74" s="181"/>
      <c r="BB74" s="181"/>
      <c r="BC74" s="181"/>
    </row>
    <row r="75" spans="2:55" ht="15" hidden="1" customHeight="1" x14ac:dyDescent="0.2">
      <c r="P75" s="2"/>
      <c r="Q75" s="2"/>
      <c r="R75" s="2"/>
      <c r="S75" s="2"/>
      <c r="T75" s="2"/>
      <c r="U75" s="2"/>
      <c r="V75" s="2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181"/>
      <c r="AY75" s="181"/>
      <c r="AZ75" s="181"/>
      <c r="BA75" s="181"/>
      <c r="BB75" s="181"/>
      <c r="BC75" s="181"/>
    </row>
    <row r="76" spans="2:55" ht="15" hidden="1" customHeight="1" x14ac:dyDescent="0.2">
      <c r="P76" s="2"/>
      <c r="Q76" s="2"/>
      <c r="R76" s="2"/>
      <c r="S76" s="2"/>
      <c r="T76" s="2"/>
      <c r="U76" s="2"/>
      <c r="V76" s="2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181"/>
      <c r="AY76" s="181"/>
      <c r="AZ76" s="181"/>
      <c r="BA76" s="181"/>
      <c r="BB76" s="181"/>
      <c r="BC76" s="181"/>
    </row>
    <row r="77" spans="2:55" ht="15" hidden="1" customHeight="1" x14ac:dyDescent="0.2">
      <c r="P77" s="2"/>
      <c r="Q77" s="2"/>
      <c r="R77" s="2"/>
      <c r="S77" s="2"/>
      <c r="T77" s="2"/>
      <c r="U77" s="2"/>
      <c r="V77" s="2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181"/>
      <c r="AY77" s="181"/>
      <c r="AZ77" s="181"/>
      <c r="BA77" s="181"/>
      <c r="BB77" s="181"/>
      <c r="BC77" s="181"/>
    </row>
    <row r="78" spans="2:55" ht="15" hidden="1" customHeight="1" x14ac:dyDescent="0.2">
      <c r="P78" s="2"/>
      <c r="Q78" s="2"/>
      <c r="R78" s="2"/>
      <c r="S78" s="2"/>
      <c r="T78" s="2"/>
      <c r="U78" s="2"/>
      <c r="V78" s="2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181"/>
      <c r="AY78" s="181"/>
      <c r="AZ78" s="181"/>
      <c r="BA78" s="181"/>
      <c r="BB78" s="181"/>
      <c r="BC78" s="181"/>
    </row>
    <row r="79" spans="2:55" ht="15" hidden="1" customHeight="1" x14ac:dyDescent="0.2">
      <c r="P79" s="2"/>
      <c r="Q79" s="2"/>
      <c r="R79" s="2"/>
      <c r="S79" s="2"/>
      <c r="T79" s="2"/>
      <c r="U79" s="2"/>
      <c r="V79" s="2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181"/>
      <c r="AY79" s="181"/>
      <c r="AZ79" s="181"/>
      <c r="BA79" s="181"/>
      <c r="BB79" s="181"/>
      <c r="BC79" s="181"/>
    </row>
    <row r="80" spans="2:55" ht="15" hidden="1" customHeight="1" x14ac:dyDescent="0.2">
      <c r="P80" s="2"/>
      <c r="Q80" s="2"/>
      <c r="R80" s="2"/>
      <c r="S80" s="2"/>
      <c r="T80" s="2"/>
      <c r="U80" s="2"/>
      <c r="V80" s="2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181"/>
      <c r="AY80" s="181"/>
      <c r="AZ80" s="181"/>
      <c r="BA80" s="181"/>
      <c r="BB80" s="181"/>
      <c r="BC80" s="181"/>
    </row>
    <row r="81" spans="16:55" ht="15" hidden="1" customHeight="1" x14ac:dyDescent="0.2">
      <c r="P81" s="2"/>
      <c r="Q81" s="2"/>
      <c r="R81" s="2"/>
      <c r="S81" s="2"/>
      <c r="T81" s="2"/>
      <c r="U81" s="2"/>
      <c r="V81" s="2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181"/>
      <c r="AY81" s="181"/>
      <c r="AZ81" s="181"/>
      <c r="BA81" s="181"/>
      <c r="BB81" s="181"/>
      <c r="BC81" s="181"/>
    </row>
    <row r="82" spans="16:55" ht="15" hidden="1" customHeight="1" x14ac:dyDescent="0.2">
      <c r="P82" s="2"/>
      <c r="Q82" s="2"/>
      <c r="R82" s="2"/>
      <c r="S82" s="2"/>
      <c r="T82" s="2"/>
      <c r="U82" s="2"/>
      <c r="V82" s="2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181"/>
      <c r="AY82" s="181"/>
      <c r="AZ82" s="181"/>
      <c r="BA82" s="181"/>
      <c r="BB82" s="181"/>
      <c r="BC82" s="181"/>
    </row>
    <row r="83" spans="16:55" ht="15" hidden="1" customHeight="1" x14ac:dyDescent="0.2">
      <c r="P83" s="2"/>
      <c r="Q83" s="2"/>
      <c r="R83" s="2"/>
      <c r="S83" s="2"/>
      <c r="T83" s="2"/>
      <c r="U83" s="2"/>
      <c r="V83" s="2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181"/>
      <c r="AY83" s="181"/>
      <c r="AZ83" s="181"/>
      <c r="BA83" s="181"/>
      <c r="BB83" s="181"/>
      <c r="BC83" s="181"/>
    </row>
    <row r="84" spans="16:55" ht="15" hidden="1" customHeight="1" x14ac:dyDescent="0.2">
      <c r="P84" s="2"/>
      <c r="Q84" s="2"/>
      <c r="R84" s="2"/>
      <c r="S84" s="2"/>
      <c r="T84" s="2"/>
      <c r="U84" s="2"/>
      <c r="V84" s="2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181"/>
      <c r="AY84" s="181"/>
      <c r="AZ84" s="181"/>
      <c r="BA84" s="181"/>
      <c r="BB84" s="181"/>
      <c r="BC84" s="181"/>
    </row>
    <row r="85" spans="16:55" ht="15" hidden="1" customHeight="1" x14ac:dyDescent="0.2">
      <c r="P85" s="2"/>
      <c r="Q85" s="2"/>
      <c r="R85" s="2"/>
      <c r="S85" s="2"/>
      <c r="T85" s="2"/>
      <c r="U85" s="2"/>
      <c r="V85" s="2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181"/>
      <c r="AY85" s="181"/>
      <c r="AZ85" s="181"/>
      <c r="BA85" s="181"/>
      <c r="BB85" s="181"/>
      <c r="BC85" s="181"/>
    </row>
    <row r="86" spans="16:55" ht="15" hidden="1" customHeight="1" x14ac:dyDescent="0.2">
      <c r="P86" s="2"/>
      <c r="Q86" s="2"/>
      <c r="R86" s="2"/>
      <c r="S86" s="2"/>
      <c r="T86" s="2"/>
      <c r="U86" s="2"/>
      <c r="V86" s="2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181"/>
      <c r="AY86" s="181"/>
      <c r="AZ86" s="181"/>
      <c r="BA86" s="181"/>
      <c r="BB86" s="181"/>
      <c r="BC86" s="181"/>
    </row>
    <row r="87" spans="16:55" ht="15" hidden="1" customHeight="1" x14ac:dyDescent="0.2">
      <c r="P87" s="2"/>
      <c r="Q87" s="2"/>
      <c r="R87" s="2"/>
      <c r="S87" s="2"/>
      <c r="T87" s="2"/>
      <c r="U87" s="2"/>
      <c r="V87" s="2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181"/>
      <c r="AY87" s="181"/>
      <c r="AZ87" s="181"/>
      <c r="BA87" s="181"/>
      <c r="BB87" s="181"/>
      <c r="BC87" s="181"/>
    </row>
    <row r="88" spans="16:55" ht="15" hidden="1" customHeight="1" x14ac:dyDescent="0.2">
      <c r="P88" s="2"/>
      <c r="Q88" s="2"/>
      <c r="R88" s="2"/>
      <c r="S88" s="2"/>
      <c r="T88" s="2"/>
      <c r="U88" s="2"/>
      <c r="V88" s="2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181"/>
      <c r="AY88" s="181"/>
      <c r="AZ88" s="181"/>
      <c r="BA88" s="181"/>
      <c r="BB88" s="181"/>
      <c r="BC88" s="181"/>
    </row>
    <row r="89" spans="16:55" ht="15" hidden="1" customHeight="1" x14ac:dyDescent="0.2">
      <c r="P89" s="2"/>
      <c r="Q89" s="2"/>
      <c r="R89" s="2"/>
      <c r="S89" s="2"/>
      <c r="T89" s="2"/>
      <c r="U89" s="2"/>
      <c r="V89" s="2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181"/>
      <c r="AY89" s="181"/>
      <c r="AZ89" s="181"/>
      <c r="BA89" s="181"/>
      <c r="BB89" s="181"/>
      <c r="BC89" s="181"/>
    </row>
    <row r="90" spans="16:55" ht="15" hidden="1" customHeight="1" x14ac:dyDescent="0.2">
      <c r="P90" s="2"/>
      <c r="Q90" s="2"/>
      <c r="R90" s="2"/>
      <c r="S90" s="2"/>
      <c r="T90" s="2"/>
      <c r="U90" s="2"/>
      <c r="V90" s="2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181"/>
      <c r="AY90" s="181"/>
      <c r="AZ90" s="181"/>
      <c r="BA90" s="181"/>
      <c r="BB90" s="181"/>
      <c r="BC90" s="181"/>
    </row>
    <row r="91" spans="16:55" ht="15" hidden="1" customHeight="1" x14ac:dyDescent="0.2">
      <c r="P91" s="2"/>
      <c r="Q91" s="2"/>
      <c r="R91" s="2"/>
      <c r="S91" s="2"/>
      <c r="T91" s="2"/>
      <c r="U91" s="2"/>
      <c r="V91" s="2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181"/>
      <c r="AY91" s="181"/>
      <c r="AZ91" s="181"/>
      <c r="BA91" s="181"/>
      <c r="BB91" s="181"/>
      <c r="BC91" s="181"/>
    </row>
    <row r="92" spans="16:55" ht="15" hidden="1" customHeight="1" x14ac:dyDescent="0.2">
      <c r="P92" s="2"/>
      <c r="Q92" s="2"/>
      <c r="R92" s="2"/>
      <c r="S92" s="2"/>
      <c r="T92" s="2"/>
      <c r="U92" s="2"/>
      <c r="V92" s="2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181"/>
      <c r="AY92" s="181"/>
      <c r="AZ92" s="181"/>
      <c r="BA92" s="181"/>
      <c r="BB92" s="181"/>
      <c r="BC92" s="181"/>
    </row>
    <row r="93" spans="16:55" ht="15" hidden="1" customHeight="1" x14ac:dyDescent="0.2">
      <c r="P93" s="2"/>
      <c r="Q93" s="2"/>
      <c r="R93" s="2"/>
      <c r="S93" s="2"/>
      <c r="T93" s="2"/>
      <c r="U93" s="2"/>
      <c r="V93" s="2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181"/>
      <c r="AY93" s="181"/>
      <c r="AZ93" s="181"/>
      <c r="BA93" s="181"/>
      <c r="BB93" s="181"/>
      <c r="BC93" s="181"/>
    </row>
    <row r="94" spans="16:55" ht="15" hidden="1" customHeight="1" x14ac:dyDescent="0.2">
      <c r="P94" s="2"/>
      <c r="Q94" s="2"/>
      <c r="R94" s="2"/>
      <c r="S94" s="2"/>
      <c r="T94" s="2"/>
      <c r="U94" s="2"/>
      <c r="V94" s="2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181"/>
      <c r="AY94" s="181"/>
      <c r="AZ94" s="181"/>
      <c r="BA94" s="181"/>
      <c r="BB94" s="181"/>
      <c r="BC94" s="181"/>
    </row>
    <row r="95" spans="16:55" ht="15" hidden="1" customHeight="1" x14ac:dyDescent="0.2">
      <c r="P95" s="2"/>
      <c r="Q95" s="2"/>
      <c r="R95" s="2"/>
      <c r="S95" s="2"/>
      <c r="T95" s="2"/>
      <c r="U95" s="2"/>
      <c r="V95" s="2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181"/>
      <c r="AY95" s="181"/>
      <c r="AZ95" s="181"/>
      <c r="BA95" s="181"/>
      <c r="BB95" s="181"/>
      <c r="BC95" s="181"/>
    </row>
    <row r="96" spans="16:55" ht="15" hidden="1" customHeight="1" x14ac:dyDescent="0.2">
      <c r="P96" s="2"/>
      <c r="Q96" s="2"/>
      <c r="R96" s="2"/>
      <c r="S96" s="2"/>
      <c r="T96" s="2"/>
      <c r="U96" s="2"/>
      <c r="V96" s="2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181"/>
      <c r="AY96" s="181"/>
      <c r="AZ96" s="181"/>
      <c r="BA96" s="181"/>
      <c r="BB96" s="181"/>
      <c r="BC96" s="181"/>
    </row>
    <row r="97" spans="16:55" ht="15" hidden="1" customHeight="1" x14ac:dyDescent="0.2">
      <c r="P97" s="2"/>
      <c r="Q97" s="2"/>
      <c r="R97" s="2"/>
      <c r="S97" s="2"/>
      <c r="T97" s="2"/>
      <c r="U97" s="2"/>
      <c r="V97" s="2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181"/>
      <c r="AY97" s="181"/>
      <c r="AZ97" s="181"/>
      <c r="BA97" s="181"/>
      <c r="BB97" s="181"/>
      <c r="BC97" s="181"/>
    </row>
    <row r="98" spans="16:55" ht="15" hidden="1" customHeight="1" x14ac:dyDescent="0.2">
      <c r="P98" s="2"/>
      <c r="Q98" s="2"/>
      <c r="R98" s="2"/>
      <c r="S98" s="2"/>
      <c r="T98" s="2"/>
      <c r="U98" s="2"/>
      <c r="V98" s="2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181"/>
      <c r="AY98" s="181"/>
      <c r="AZ98" s="181"/>
      <c r="BA98" s="181"/>
      <c r="BB98" s="181"/>
      <c r="BC98" s="181"/>
    </row>
    <row r="99" spans="16:55" ht="15" hidden="1" customHeight="1" x14ac:dyDescent="0.2">
      <c r="P99" s="2"/>
      <c r="Q99" s="2"/>
      <c r="R99" s="2"/>
      <c r="S99" s="2"/>
      <c r="T99" s="2"/>
      <c r="U99" s="2"/>
      <c r="V99" s="2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181"/>
      <c r="AY99" s="181"/>
      <c r="AZ99" s="181"/>
      <c r="BA99" s="181"/>
      <c r="BB99" s="181"/>
      <c r="BC99" s="181"/>
    </row>
    <row r="100" spans="16:55" ht="15" hidden="1" customHeight="1" x14ac:dyDescent="0.2">
      <c r="P100" s="2"/>
      <c r="Q100" s="2"/>
      <c r="R100" s="2"/>
      <c r="S100" s="2"/>
      <c r="T100" s="2"/>
      <c r="U100" s="2"/>
      <c r="V100" s="2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181"/>
      <c r="AY100" s="181"/>
      <c r="AZ100" s="181"/>
      <c r="BA100" s="181"/>
      <c r="BB100" s="181"/>
      <c r="BC100" s="181"/>
    </row>
    <row r="101" spans="16:55" ht="15" hidden="1" customHeight="1" x14ac:dyDescent="0.2">
      <c r="P101" s="2"/>
      <c r="Q101" s="2"/>
      <c r="R101" s="2"/>
      <c r="S101" s="2"/>
      <c r="T101" s="2"/>
      <c r="U101" s="2"/>
      <c r="V101" s="2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181"/>
      <c r="AY101" s="181"/>
      <c r="AZ101" s="181"/>
      <c r="BA101" s="181"/>
      <c r="BB101" s="181"/>
      <c r="BC101" s="181"/>
    </row>
    <row r="102" spans="16:55" ht="15" hidden="1" customHeight="1" x14ac:dyDescent="0.2">
      <c r="P102" s="2"/>
      <c r="Q102" s="2"/>
      <c r="R102" s="2"/>
      <c r="S102" s="2"/>
      <c r="T102" s="2"/>
      <c r="U102" s="2"/>
      <c r="V102" s="2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181"/>
      <c r="AY102" s="181"/>
      <c r="AZ102" s="181"/>
      <c r="BA102" s="181"/>
      <c r="BB102" s="181"/>
      <c r="BC102" s="181"/>
    </row>
    <row r="103" spans="16:55" ht="15" hidden="1" customHeight="1" x14ac:dyDescent="0.2">
      <c r="P103" s="2"/>
      <c r="Q103" s="2"/>
      <c r="R103" s="2"/>
      <c r="S103" s="2"/>
      <c r="T103" s="2"/>
      <c r="U103" s="2"/>
      <c r="V103" s="2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181"/>
      <c r="AY103" s="181"/>
      <c r="AZ103" s="181"/>
      <c r="BA103" s="181"/>
      <c r="BB103" s="181"/>
      <c r="BC103" s="181"/>
    </row>
    <row r="104" spans="16:55" ht="15" hidden="1" customHeight="1" x14ac:dyDescent="0.2">
      <c r="P104" s="2"/>
      <c r="Q104" s="2"/>
      <c r="R104" s="2"/>
      <c r="S104" s="2"/>
      <c r="T104" s="2"/>
      <c r="U104" s="2"/>
      <c r="V104" s="2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181"/>
      <c r="AY104" s="181"/>
      <c r="AZ104" s="181"/>
      <c r="BA104" s="181"/>
      <c r="BB104" s="181"/>
      <c r="BC104" s="181"/>
    </row>
    <row r="105" spans="16:55" ht="15" hidden="1" customHeight="1" x14ac:dyDescent="0.2">
      <c r="P105" s="2"/>
      <c r="Q105" s="2"/>
      <c r="R105" s="2"/>
      <c r="S105" s="2"/>
      <c r="T105" s="2"/>
      <c r="U105" s="2"/>
      <c r="V105" s="2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181"/>
      <c r="AY105" s="181"/>
      <c r="AZ105" s="181"/>
      <c r="BA105" s="181"/>
      <c r="BB105" s="181"/>
      <c r="BC105" s="181"/>
    </row>
    <row r="106" spans="16:55" ht="15" hidden="1" customHeight="1" x14ac:dyDescent="0.2">
      <c r="P106" s="2"/>
      <c r="Q106" s="2"/>
      <c r="R106" s="2"/>
      <c r="S106" s="2"/>
      <c r="T106" s="2"/>
      <c r="U106" s="2"/>
      <c r="V106" s="2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181"/>
      <c r="AY106" s="181"/>
      <c r="AZ106" s="181"/>
      <c r="BA106" s="181"/>
      <c r="BB106" s="181"/>
      <c r="BC106" s="181"/>
    </row>
    <row r="107" spans="16:55" ht="15" hidden="1" customHeight="1" x14ac:dyDescent="0.2">
      <c r="P107" s="2"/>
      <c r="Q107" s="2"/>
      <c r="R107" s="2"/>
      <c r="S107" s="2"/>
      <c r="T107" s="2"/>
      <c r="U107" s="2"/>
      <c r="V107" s="2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181"/>
      <c r="AY107" s="181"/>
      <c r="AZ107" s="181"/>
      <c r="BA107" s="181"/>
      <c r="BB107" s="181"/>
      <c r="BC107" s="181"/>
    </row>
    <row r="108" spans="16:55" ht="15" hidden="1" customHeight="1" x14ac:dyDescent="0.2">
      <c r="P108" s="2"/>
      <c r="Q108" s="2"/>
      <c r="R108" s="2"/>
      <c r="S108" s="2"/>
      <c r="T108" s="2"/>
      <c r="U108" s="2"/>
      <c r="V108" s="2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181"/>
      <c r="AY108" s="181"/>
      <c r="AZ108" s="181"/>
      <c r="BA108" s="181"/>
      <c r="BB108" s="181"/>
      <c r="BC108" s="181"/>
    </row>
    <row r="109" spans="16:55" ht="15" hidden="1" customHeight="1" x14ac:dyDescent="0.2">
      <c r="P109" s="2"/>
      <c r="Q109" s="2"/>
      <c r="R109" s="2"/>
      <c r="S109" s="2"/>
      <c r="T109" s="2"/>
      <c r="U109" s="2"/>
      <c r="V109" s="2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181"/>
      <c r="AY109" s="181"/>
      <c r="AZ109" s="181"/>
      <c r="BA109" s="181"/>
      <c r="BB109" s="181"/>
      <c r="BC109" s="181"/>
    </row>
    <row r="110" spans="16:55" ht="15" hidden="1" customHeight="1" x14ac:dyDescent="0.2">
      <c r="P110" s="2"/>
      <c r="Q110" s="2"/>
      <c r="R110" s="2"/>
      <c r="S110" s="2"/>
      <c r="T110" s="2"/>
      <c r="U110" s="2"/>
      <c r="V110" s="2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181"/>
      <c r="AY110" s="181"/>
      <c r="AZ110" s="181"/>
      <c r="BA110" s="181"/>
      <c r="BB110" s="181"/>
      <c r="BC110" s="181"/>
    </row>
    <row r="111" spans="16:55" ht="15" hidden="1" customHeight="1" x14ac:dyDescent="0.2">
      <c r="P111" s="2"/>
      <c r="Q111" s="2"/>
      <c r="R111" s="2"/>
      <c r="S111" s="2"/>
      <c r="T111" s="2"/>
      <c r="U111" s="2"/>
      <c r="V111" s="2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181"/>
      <c r="AY111" s="181"/>
      <c r="AZ111" s="181"/>
      <c r="BA111" s="181"/>
      <c r="BB111" s="181"/>
      <c r="BC111" s="181"/>
    </row>
    <row r="112" spans="16:55" ht="15" hidden="1" customHeight="1" x14ac:dyDescent="0.2">
      <c r="P112" s="2"/>
      <c r="Q112" s="2"/>
      <c r="R112" s="2"/>
      <c r="S112" s="2"/>
      <c r="T112" s="2"/>
      <c r="U112" s="2"/>
      <c r="V112" s="2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181"/>
      <c r="AY112" s="181"/>
      <c r="AZ112" s="181"/>
      <c r="BA112" s="181"/>
      <c r="BB112" s="181"/>
      <c r="BC112" s="181"/>
    </row>
    <row r="113" spans="16:55" ht="15" hidden="1" customHeight="1" x14ac:dyDescent="0.2">
      <c r="P113" s="2"/>
      <c r="Q113" s="2"/>
      <c r="R113" s="2"/>
      <c r="S113" s="2"/>
      <c r="T113" s="2"/>
      <c r="U113" s="2"/>
      <c r="V113" s="2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181"/>
      <c r="AY113" s="181"/>
      <c r="AZ113" s="181"/>
      <c r="BA113" s="181"/>
      <c r="BB113" s="181"/>
      <c r="BC113" s="181"/>
    </row>
    <row r="114" spans="16:55" ht="15" hidden="1" customHeight="1" x14ac:dyDescent="0.2">
      <c r="P114" s="2"/>
      <c r="Q114" s="2"/>
      <c r="R114" s="2"/>
      <c r="S114" s="2"/>
      <c r="T114" s="2"/>
      <c r="U114" s="2"/>
      <c r="V114" s="2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181"/>
      <c r="AY114" s="181"/>
      <c r="AZ114" s="181"/>
      <c r="BA114" s="181"/>
      <c r="BB114" s="181"/>
      <c r="BC114" s="181"/>
    </row>
    <row r="115" spans="16:55" ht="15" hidden="1" customHeight="1" x14ac:dyDescent="0.2">
      <c r="P115" s="2"/>
      <c r="Q115" s="2"/>
      <c r="R115" s="2"/>
      <c r="S115" s="2"/>
      <c r="T115" s="2"/>
      <c r="U115" s="2"/>
      <c r="V115" s="2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181"/>
      <c r="AY115" s="181"/>
      <c r="AZ115" s="181"/>
      <c r="BA115" s="181"/>
      <c r="BB115" s="181"/>
      <c r="BC115" s="181"/>
    </row>
    <row r="116" spans="16:55" ht="15" hidden="1" customHeight="1" x14ac:dyDescent="0.2">
      <c r="P116" s="2"/>
      <c r="Q116" s="2"/>
      <c r="R116" s="2"/>
      <c r="S116" s="2"/>
      <c r="T116" s="2"/>
      <c r="U116" s="2"/>
      <c r="V116" s="2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181"/>
      <c r="AY116" s="181"/>
      <c r="AZ116" s="181"/>
      <c r="BA116" s="181"/>
      <c r="BB116" s="181"/>
      <c r="BC116" s="181"/>
    </row>
    <row r="117" spans="16:55" ht="15" hidden="1" customHeight="1" x14ac:dyDescent="0.2">
      <c r="P117" s="2"/>
      <c r="Q117" s="2"/>
      <c r="R117" s="2"/>
      <c r="S117" s="2"/>
      <c r="T117" s="2"/>
      <c r="U117" s="2"/>
      <c r="V117" s="2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181"/>
      <c r="AY117" s="181"/>
      <c r="AZ117" s="181"/>
      <c r="BA117" s="181"/>
      <c r="BB117" s="181"/>
      <c r="BC117" s="181"/>
    </row>
    <row r="118" spans="16:55" ht="15" hidden="1" customHeight="1" x14ac:dyDescent="0.2">
      <c r="P118" s="2"/>
      <c r="Q118" s="2"/>
      <c r="R118" s="2"/>
      <c r="S118" s="2"/>
      <c r="T118" s="2"/>
      <c r="U118" s="2"/>
      <c r="V118" s="2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181"/>
      <c r="AY118" s="181"/>
      <c r="AZ118" s="181"/>
      <c r="BA118" s="181"/>
      <c r="BB118" s="181"/>
      <c r="BC118" s="181"/>
    </row>
    <row r="119" spans="16:55" ht="15" hidden="1" customHeight="1" x14ac:dyDescent="0.2">
      <c r="P119" s="2"/>
      <c r="Q119" s="2"/>
      <c r="R119" s="2"/>
      <c r="S119" s="2"/>
      <c r="T119" s="2"/>
      <c r="U119" s="2"/>
      <c r="V119" s="2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181"/>
      <c r="AY119" s="181"/>
      <c r="AZ119" s="181"/>
      <c r="BA119" s="181"/>
      <c r="BB119" s="181"/>
      <c r="BC119" s="181"/>
    </row>
    <row r="120" spans="16:55" ht="15" hidden="1" customHeight="1" x14ac:dyDescent="0.2">
      <c r="P120" s="2"/>
      <c r="Q120" s="2"/>
      <c r="R120" s="2"/>
      <c r="S120" s="2"/>
      <c r="T120" s="2"/>
      <c r="U120" s="2"/>
      <c r="V120" s="2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181"/>
      <c r="AY120" s="181"/>
      <c r="AZ120" s="181"/>
      <c r="BA120" s="181"/>
      <c r="BB120" s="181"/>
      <c r="BC120" s="181"/>
    </row>
    <row r="121" spans="16:55" ht="15" hidden="1" customHeight="1" x14ac:dyDescent="0.2">
      <c r="P121" s="2"/>
      <c r="Q121" s="2"/>
      <c r="R121" s="2"/>
      <c r="S121" s="2"/>
      <c r="T121" s="2"/>
      <c r="U121" s="2"/>
      <c r="V121" s="2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181"/>
      <c r="AY121" s="181"/>
      <c r="AZ121" s="181"/>
      <c r="BA121" s="181"/>
      <c r="BB121" s="181"/>
      <c r="BC121" s="181"/>
    </row>
    <row r="122" spans="16:55" ht="15" hidden="1" customHeight="1" x14ac:dyDescent="0.2">
      <c r="P122" s="2"/>
      <c r="Q122" s="2"/>
      <c r="R122" s="2"/>
      <c r="S122" s="2"/>
      <c r="T122" s="2"/>
      <c r="U122" s="2"/>
      <c r="V122" s="2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181"/>
      <c r="AY122" s="181"/>
      <c r="AZ122" s="181"/>
      <c r="BA122" s="181"/>
      <c r="BB122" s="181"/>
      <c r="BC122" s="181"/>
    </row>
    <row r="123" spans="16:55" ht="15" hidden="1" customHeight="1" x14ac:dyDescent="0.2">
      <c r="P123" s="2"/>
      <c r="Q123" s="2"/>
      <c r="R123" s="2"/>
      <c r="S123" s="2"/>
      <c r="T123" s="2"/>
      <c r="U123" s="2"/>
      <c r="V123" s="2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181"/>
      <c r="AY123" s="181"/>
      <c r="AZ123" s="181"/>
      <c r="BA123" s="181"/>
      <c r="BB123" s="181"/>
      <c r="BC123" s="181"/>
    </row>
    <row r="124" spans="16:55" ht="15" hidden="1" customHeight="1" x14ac:dyDescent="0.2">
      <c r="P124" s="2"/>
      <c r="Q124" s="2"/>
      <c r="R124" s="2"/>
      <c r="S124" s="2"/>
      <c r="T124" s="2"/>
      <c r="U124" s="2"/>
      <c r="V124" s="2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181"/>
      <c r="AY124" s="181"/>
      <c r="AZ124" s="181"/>
      <c r="BA124" s="181"/>
      <c r="BB124" s="181"/>
      <c r="BC124" s="181"/>
    </row>
    <row r="125" spans="16:55" ht="15" hidden="1" customHeight="1" x14ac:dyDescent="0.2">
      <c r="P125" s="2"/>
      <c r="Q125" s="2"/>
      <c r="R125" s="2"/>
      <c r="S125" s="2"/>
      <c r="T125" s="2"/>
      <c r="U125" s="2"/>
      <c r="V125" s="2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181"/>
      <c r="AY125" s="181"/>
      <c r="AZ125" s="181"/>
      <c r="BA125" s="181"/>
      <c r="BB125" s="181"/>
      <c r="BC125" s="181"/>
    </row>
    <row r="126" spans="16:55" ht="15" hidden="1" customHeight="1" x14ac:dyDescent="0.2">
      <c r="P126" s="2"/>
      <c r="Q126" s="2"/>
      <c r="R126" s="2"/>
      <c r="S126" s="2"/>
      <c r="T126" s="2"/>
      <c r="U126" s="2"/>
      <c r="V126" s="2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181"/>
      <c r="AY126" s="181"/>
      <c r="AZ126" s="181"/>
      <c r="BA126" s="181"/>
      <c r="BB126" s="181"/>
      <c r="BC126" s="181"/>
    </row>
    <row r="127" spans="16:55" ht="15" hidden="1" customHeight="1" x14ac:dyDescent="0.2">
      <c r="P127" s="2"/>
      <c r="Q127" s="2"/>
      <c r="R127" s="2"/>
      <c r="S127" s="2"/>
      <c r="T127" s="2"/>
      <c r="U127" s="2"/>
      <c r="V127" s="2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181"/>
      <c r="AY127" s="181"/>
      <c r="AZ127" s="181"/>
      <c r="BA127" s="181"/>
      <c r="BB127" s="181"/>
      <c r="BC127" s="181"/>
    </row>
    <row r="128" spans="16:55" ht="15" hidden="1" customHeight="1" x14ac:dyDescent="0.2">
      <c r="P128" s="2"/>
      <c r="Q128" s="2"/>
      <c r="R128" s="2"/>
      <c r="S128" s="2"/>
      <c r="T128" s="2"/>
      <c r="U128" s="2"/>
      <c r="V128" s="2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181"/>
      <c r="AY128" s="181"/>
      <c r="AZ128" s="181"/>
      <c r="BA128" s="181"/>
      <c r="BB128" s="181"/>
      <c r="BC128" s="181"/>
    </row>
    <row r="129" spans="16:55" ht="15" hidden="1" customHeight="1" x14ac:dyDescent="0.2">
      <c r="P129" s="2"/>
      <c r="Q129" s="2"/>
      <c r="R129" s="2"/>
      <c r="S129" s="2"/>
      <c r="T129" s="2"/>
      <c r="U129" s="2"/>
      <c r="V129" s="2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181"/>
      <c r="AY129" s="181"/>
      <c r="AZ129" s="181"/>
      <c r="BA129" s="181"/>
      <c r="BB129" s="181"/>
      <c r="BC129" s="181"/>
    </row>
    <row r="130" spans="16:55" ht="15" hidden="1" customHeight="1" x14ac:dyDescent="0.2">
      <c r="P130" s="2"/>
      <c r="Q130" s="2"/>
      <c r="R130" s="2"/>
      <c r="S130" s="2"/>
      <c r="T130" s="2"/>
      <c r="U130" s="2"/>
      <c r="V130" s="2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181"/>
      <c r="AY130" s="181"/>
      <c r="AZ130" s="181"/>
      <c r="BA130" s="181"/>
      <c r="BB130" s="181"/>
      <c r="BC130" s="181"/>
    </row>
    <row r="131" spans="16:55" ht="15" hidden="1" customHeight="1" x14ac:dyDescent="0.2">
      <c r="P131" s="2"/>
      <c r="Q131" s="2"/>
      <c r="R131" s="2"/>
      <c r="S131" s="2"/>
      <c r="T131" s="2"/>
      <c r="U131" s="2"/>
      <c r="V131" s="2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181"/>
      <c r="AY131" s="181"/>
      <c r="AZ131" s="181"/>
      <c r="BA131" s="181"/>
      <c r="BB131" s="181"/>
      <c r="BC131" s="181"/>
    </row>
    <row r="132" spans="16:55" ht="15" hidden="1" customHeight="1" x14ac:dyDescent="0.2">
      <c r="P132" s="2"/>
      <c r="Q132" s="2"/>
      <c r="R132" s="2"/>
      <c r="S132" s="2"/>
      <c r="T132" s="2"/>
      <c r="U132" s="2"/>
      <c r="V132" s="2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181"/>
      <c r="AY132" s="181"/>
      <c r="AZ132" s="181"/>
      <c r="BA132" s="181"/>
      <c r="BB132" s="181"/>
      <c r="BC132" s="181"/>
    </row>
    <row r="133" spans="16:55" ht="15" hidden="1" customHeight="1" x14ac:dyDescent="0.2">
      <c r="P133" s="2"/>
      <c r="Q133" s="2"/>
      <c r="R133" s="2"/>
      <c r="S133" s="2"/>
      <c r="T133" s="2"/>
      <c r="U133" s="2"/>
      <c r="V133" s="2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181"/>
      <c r="AY133" s="181"/>
      <c r="AZ133" s="181"/>
      <c r="BA133" s="181"/>
      <c r="BB133" s="181"/>
      <c r="BC133" s="181"/>
    </row>
    <row r="134" spans="16:55" ht="15" hidden="1" customHeight="1" x14ac:dyDescent="0.2">
      <c r="P134" s="2"/>
      <c r="Q134" s="2"/>
      <c r="R134" s="2"/>
      <c r="S134" s="2"/>
      <c r="T134" s="2"/>
      <c r="U134" s="2"/>
      <c r="V134" s="2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181"/>
      <c r="AY134" s="181"/>
      <c r="AZ134" s="181"/>
      <c r="BA134" s="181"/>
      <c r="BB134" s="181"/>
      <c r="BC134" s="181"/>
    </row>
    <row r="135" spans="16:55" ht="15" hidden="1" customHeight="1" x14ac:dyDescent="0.2">
      <c r="P135" s="2"/>
      <c r="Q135" s="2"/>
      <c r="R135" s="2"/>
      <c r="S135" s="2"/>
      <c r="T135" s="2"/>
      <c r="U135" s="2"/>
      <c r="V135" s="2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181"/>
      <c r="AY135" s="181"/>
      <c r="AZ135" s="181"/>
      <c r="BA135" s="181"/>
      <c r="BB135" s="181"/>
      <c r="BC135" s="181"/>
    </row>
    <row r="136" spans="16:55" ht="15" hidden="1" customHeight="1" x14ac:dyDescent="0.2">
      <c r="P136" s="2"/>
      <c r="Q136" s="2"/>
      <c r="R136" s="2"/>
      <c r="S136" s="2"/>
      <c r="T136" s="2"/>
      <c r="U136" s="2"/>
      <c r="V136" s="2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181"/>
      <c r="AY136" s="181"/>
      <c r="AZ136" s="181"/>
      <c r="BA136" s="181"/>
      <c r="BB136" s="181"/>
      <c r="BC136" s="181"/>
    </row>
    <row r="137" spans="16:55" ht="15" hidden="1" customHeight="1" x14ac:dyDescent="0.2">
      <c r="P137" s="2"/>
      <c r="Q137" s="2"/>
      <c r="R137" s="2"/>
      <c r="S137" s="2"/>
      <c r="T137" s="2"/>
      <c r="U137" s="2"/>
      <c r="V137" s="2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181"/>
      <c r="AY137" s="181"/>
      <c r="AZ137" s="181"/>
      <c r="BA137" s="181"/>
      <c r="BB137" s="181"/>
      <c r="BC137" s="181"/>
    </row>
    <row r="138" spans="16:55" ht="15" hidden="1" customHeight="1" x14ac:dyDescent="0.2">
      <c r="P138" s="2"/>
      <c r="Q138" s="2"/>
      <c r="R138" s="2"/>
      <c r="S138" s="2"/>
      <c r="T138" s="2"/>
      <c r="U138" s="2"/>
      <c r="V138" s="2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181"/>
      <c r="AY138" s="181"/>
      <c r="AZ138" s="181"/>
      <c r="BA138" s="181"/>
      <c r="BB138" s="181"/>
      <c r="BC138" s="181"/>
    </row>
    <row r="139" spans="16:55" ht="15" hidden="1" customHeight="1" x14ac:dyDescent="0.2">
      <c r="P139" s="2"/>
      <c r="Q139" s="2"/>
      <c r="R139" s="2"/>
      <c r="S139" s="2"/>
      <c r="T139" s="2"/>
      <c r="U139" s="2"/>
      <c r="V139" s="2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181"/>
      <c r="AY139" s="181"/>
      <c r="AZ139" s="181"/>
      <c r="BA139" s="181"/>
      <c r="BB139" s="181"/>
      <c r="BC139" s="181"/>
    </row>
    <row r="140" spans="16:55" ht="15" hidden="1" customHeight="1" x14ac:dyDescent="0.2">
      <c r="P140" s="2"/>
      <c r="Q140" s="2"/>
      <c r="R140" s="2"/>
      <c r="S140" s="2"/>
      <c r="T140" s="2"/>
      <c r="U140" s="2"/>
      <c r="V140" s="2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181"/>
      <c r="AY140" s="181"/>
      <c r="AZ140" s="181"/>
      <c r="BA140" s="181"/>
      <c r="BB140" s="181"/>
      <c r="BC140" s="181"/>
    </row>
    <row r="141" spans="16:55" ht="15" hidden="1" customHeight="1" x14ac:dyDescent="0.2">
      <c r="P141" s="2"/>
      <c r="Q141" s="2"/>
      <c r="R141" s="2"/>
      <c r="S141" s="2"/>
      <c r="T141" s="2"/>
      <c r="U141" s="2"/>
      <c r="V141" s="2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181"/>
      <c r="AY141" s="181"/>
      <c r="AZ141" s="181"/>
      <c r="BA141" s="181"/>
      <c r="BB141" s="181"/>
      <c r="BC141" s="181"/>
    </row>
    <row r="142" spans="16:55" ht="15" hidden="1" customHeight="1" x14ac:dyDescent="0.2">
      <c r="P142" s="2"/>
      <c r="Q142" s="2"/>
      <c r="R142" s="2"/>
      <c r="S142" s="2"/>
      <c r="T142" s="2"/>
      <c r="U142" s="2"/>
      <c r="V142" s="2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181"/>
      <c r="AY142" s="181"/>
      <c r="AZ142" s="181"/>
      <c r="BA142" s="181"/>
      <c r="BB142" s="181"/>
      <c r="BC142" s="181"/>
    </row>
    <row r="143" spans="16:55" ht="15" hidden="1" customHeight="1" x14ac:dyDescent="0.2">
      <c r="P143" s="2"/>
      <c r="Q143" s="2"/>
      <c r="R143" s="2"/>
      <c r="S143" s="2"/>
      <c r="T143" s="2"/>
      <c r="U143" s="2"/>
      <c r="V143" s="2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181"/>
      <c r="AY143" s="181"/>
      <c r="AZ143" s="181"/>
      <c r="BA143" s="181"/>
      <c r="BB143" s="181"/>
      <c r="BC143" s="181"/>
    </row>
    <row r="144" spans="16:55" ht="15" hidden="1" customHeight="1" x14ac:dyDescent="0.2">
      <c r="P144" s="2"/>
      <c r="Q144" s="2"/>
      <c r="R144" s="2"/>
      <c r="S144" s="2"/>
      <c r="T144" s="2"/>
      <c r="U144" s="2"/>
      <c r="V144" s="2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181"/>
      <c r="AY144" s="181"/>
      <c r="AZ144" s="181"/>
      <c r="BA144" s="181"/>
      <c r="BB144" s="181"/>
      <c r="BC144" s="181"/>
    </row>
    <row r="145" spans="1:55" ht="15" hidden="1" customHeight="1" x14ac:dyDescent="0.2">
      <c r="P145" s="2"/>
      <c r="Q145" s="2"/>
      <c r="R145" s="2"/>
      <c r="S145" s="2"/>
      <c r="T145" s="2"/>
      <c r="U145" s="2"/>
      <c r="V145" s="2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181"/>
      <c r="AY145" s="181"/>
      <c r="AZ145" s="181"/>
      <c r="BA145" s="181"/>
      <c r="BB145" s="181"/>
      <c r="BC145" s="181"/>
    </row>
    <row r="146" spans="1:55" ht="15" hidden="1" customHeight="1" x14ac:dyDescent="0.2">
      <c r="P146" s="2"/>
      <c r="Q146" s="2"/>
      <c r="R146" s="2"/>
      <c r="S146" s="2"/>
      <c r="T146" s="2"/>
      <c r="U146" s="2"/>
      <c r="V146" s="2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181"/>
      <c r="AY146" s="181"/>
      <c r="AZ146" s="181"/>
      <c r="BA146" s="181"/>
      <c r="BB146" s="181"/>
      <c r="BC146" s="181"/>
    </row>
    <row r="147" spans="1:55" ht="15" hidden="1" customHeight="1" x14ac:dyDescent="0.2">
      <c r="P147" s="2"/>
      <c r="Q147" s="2"/>
      <c r="R147" s="2"/>
      <c r="S147" s="2"/>
      <c r="T147" s="2"/>
      <c r="U147" s="2"/>
      <c r="V147" s="2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181"/>
      <c r="AY147" s="181"/>
      <c r="AZ147" s="181"/>
      <c r="BA147" s="181"/>
      <c r="BB147" s="181"/>
      <c r="BC147" s="181"/>
    </row>
    <row r="148" spans="1:55" ht="15" hidden="1" customHeight="1" x14ac:dyDescent="0.2">
      <c r="P148" s="2"/>
      <c r="Q148" s="2"/>
      <c r="R148" s="2"/>
      <c r="S148" s="2"/>
      <c r="T148" s="2"/>
      <c r="U148" s="2"/>
      <c r="V148" s="2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181"/>
      <c r="AY148" s="181"/>
      <c r="AZ148" s="181"/>
      <c r="BA148" s="181"/>
      <c r="BB148" s="181"/>
      <c r="BC148" s="181"/>
    </row>
    <row r="149" spans="1:55" ht="15" hidden="1" customHeight="1" x14ac:dyDescent="0.2">
      <c r="P149" s="2"/>
      <c r="Q149" s="2"/>
      <c r="R149" s="2"/>
      <c r="S149" s="2"/>
      <c r="T149" s="2"/>
      <c r="U149" s="2"/>
      <c r="V149" s="2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181"/>
      <c r="AY149" s="181"/>
      <c r="AZ149" s="181"/>
      <c r="BA149" s="181"/>
      <c r="BB149" s="181"/>
      <c r="BC149" s="181"/>
    </row>
    <row r="150" spans="1:55" ht="15" hidden="1" customHeight="1" x14ac:dyDescent="0.2">
      <c r="P150" s="2"/>
      <c r="Q150" s="2"/>
      <c r="R150" s="2"/>
      <c r="S150" s="2"/>
      <c r="T150" s="2"/>
      <c r="U150" s="2"/>
      <c r="V150" s="2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181"/>
      <c r="AY150" s="181"/>
      <c r="AZ150" s="181"/>
      <c r="BA150" s="181"/>
      <c r="BB150" s="181"/>
      <c r="BC150" s="181"/>
    </row>
    <row r="151" spans="1:55" ht="15" hidden="1" customHeight="1" x14ac:dyDescent="0.2">
      <c r="P151" s="2"/>
      <c r="Q151" s="2"/>
      <c r="R151" s="2"/>
      <c r="S151" s="2"/>
      <c r="T151" s="2"/>
      <c r="U151" s="2"/>
      <c r="V151" s="2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181"/>
      <c r="AY151" s="181"/>
      <c r="AZ151" s="181"/>
      <c r="BA151" s="181"/>
      <c r="BB151" s="181"/>
      <c r="BC151" s="181"/>
    </row>
    <row r="152" spans="1:55" ht="15" hidden="1" customHeight="1" thickBot="1" x14ac:dyDescent="0.25">
      <c r="P152" s="47"/>
      <c r="Q152" s="47"/>
      <c r="R152" s="47"/>
      <c r="S152" s="47"/>
      <c r="T152" s="47"/>
      <c r="U152" s="47"/>
      <c r="V152" s="47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28"/>
      <c r="AT152" s="28"/>
      <c r="AU152" s="28"/>
      <c r="AV152" s="28"/>
      <c r="AW152" s="28"/>
      <c r="AX152" s="181"/>
      <c r="AY152" s="181"/>
      <c r="AZ152" s="181"/>
      <c r="BA152" s="181"/>
      <c r="BB152" s="181"/>
      <c r="BC152" s="181"/>
    </row>
    <row r="153" spans="1:55" ht="15" hidden="1" customHeight="1" thickBot="1" x14ac:dyDescent="0.2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7"/>
      <c r="P153" s="2"/>
      <c r="Q153" s="2"/>
      <c r="R153" s="2"/>
      <c r="S153" s="2"/>
      <c r="T153" s="2"/>
      <c r="U153" s="2"/>
      <c r="V153" s="2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181"/>
      <c r="AY153" s="181"/>
      <c r="AZ153" s="181"/>
      <c r="BA153" s="181"/>
      <c r="BB153" s="181"/>
      <c r="BC153" s="181"/>
    </row>
    <row r="154" spans="1:55" ht="15" hidden="1" customHeight="1" x14ac:dyDescent="0.2">
      <c r="A154" s="4"/>
      <c r="B154" s="432" t="s">
        <v>31</v>
      </c>
      <c r="C154" s="399"/>
      <c r="D154" s="399"/>
      <c r="E154" s="399"/>
      <c r="F154" s="433"/>
      <c r="G154" s="27"/>
      <c r="H154" s="4"/>
      <c r="I154" s="4"/>
      <c r="J154" s="4"/>
      <c r="K154" s="4"/>
      <c r="L154" s="27"/>
      <c r="M154" s="27"/>
      <c r="N154" s="27"/>
      <c r="O154" s="27"/>
      <c r="P154" s="2"/>
      <c r="Q154" s="2"/>
      <c r="R154" s="2"/>
      <c r="S154" s="2"/>
      <c r="T154" s="2"/>
      <c r="U154" s="2"/>
      <c r="V154" s="2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181"/>
      <c r="AY154" s="181"/>
      <c r="AZ154" s="181"/>
      <c r="BA154" s="181"/>
      <c r="BB154" s="181"/>
      <c r="BC154" s="181"/>
    </row>
    <row r="155" spans="1:55" ht="15" hidden="1" customHeight="1" thickBot="1" x14ac:dyDescent="0.25">
      <c r="A155" s="4"/>
      <c r="B155" s="434"/>
      <c r="C155" s="435"/>
      <c r="D155" s="435"/>
      <c r="E155" s="435"/>
      <c r="F155" s="436"/>
      <c r="G155" s="27"/>
      <c r="H155" s="4"/>
      <c r="I155" s="4"/>
      <c r="J155" s="4"/>
      <c r="K155" s="4"/>
      <c r="L155" s="27"/>
      <c r="M155" s="27"/>
      <c r="N155" s="27"/>
      <c r="O155" s="27"/>
      <c r="P155" s="2"/>
      <c r="Q155" s="2"/>
      <c r="R155" s="2"/>
      <c r="S155" s="2"/>
      <c r="T155" s="2"/>
      <c r="U155" s="2"/>
      <c r="V155" s="2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181"/>
      <c r="AY155" s="181"/>
      <c r="AZ155" s="181"/>
      <c r="BA155" s="181"/>
      <c r="BB155" s="181"/>
      <c r="BC155" s="181"/>
    </row>
    <row r="156" spans="1:55" ht="15" hidden="1" customHeight="1" x14ac:dyDescent="0.2">
      <c r="A156" s="4"/>
      <c r="B156" s="33" t="s">
        <v>35</v>
      </c>
      <c r="C156" s="32"/>
      <c r="D156" s="32"/>
      <c r="E156" s="32"/>
      <c r="F156" s="36"/>
      <c r="G156" s="27"/>
      <c r="H156" s="4"/>
      <c r="I156" s="4"/>
      <c r="J156" s="4"/>
      <c r="K156" s="4"/>
      <c r="L156" s="27"/>
      <c r="M156" s="27"/>
      <c r="N156" s="27"/>
      <c r="O156" s="27"/>
      <c r="P156" s="2"/>
      <c r="Q156" s="2"/>
      <c r="R156" s="2"/>
      <c r="S156" s="2"/>
      <c r="T156" s="2"/>
      <c r="U156" s="2"/>
      <c r="V156" s="2"/>
      <c r="W156" s="28"/>
      <c r="X156" s="28"/>
      <c r="Y156" s="28"/>
      <c r="Z156" s="28"/>
      <c r="AA156" s="28"/>
      <c r="AB156" s="28"/>
      <c r="AC156" s="28"/>
      <c r="AD156" s="28"/>
      <c r="AE156" s="28"/>
      <c r="AF156" s="28" t="s">
        <v>28</v>
      </c>
      <c r="AG156" s="28"/>
      <c r="AH156" s="28"/>
      <c r="AI156" s="28"/>
      <c r="AJ156" s="28"/>
      <c r="AK156" s="28" t="s">
        <v>29</v>
      </c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181"/>
      <c r="AY156" s="181"/>
      <c r="AZ156" s="181"/>
      <c r="BA156" s="181"/>
      <c r="BB156" s="181"/>
      <c r="BC156" s="181"/>
    </row>
    <row r="157" spans="1:55" ht="15" hidden="1" customHeight="1" x14ac:dyDescent="0.2">
      <c r="A157" s="4"/>
      <c r="B157" s="33" t="s">
        <v>32</v>
      </c>
      <c r="C157" s="32"/>
      <c r="D157" s="32"/>
      <c r="E157" s="32"/>
      <c r="F157" s="34"/>
      <c r="G157" s="27"/>
      <c r="H157" s="4"/>
      <c r="I157" s="4"/>
      <c r="J157" s="2"/>
      <c r="K157" s="4"/>
      <c r="L157" s="27"/>
      <c r="M157" s="27"/>
      <c r="N157" s="27"/>
      <c r="O157" s="4"/>
      <c r="P157" s="2"/>
      <c r="Q157" s="2"/>
      <c r="R157" s="2"/>
      <c r="S157" s="2"/>
      <c r="T157" s="2"/>
      <c r="U157" s="2"/>
      <c r="V157" s="2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>
        <v>10</v>
      </c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181"/>
      <c r="AY157" s="181"/>
      <c r="AZ157" s="181"/>
      <c r="BA157" s="181"/>
      <c r="BB157" s="181"/>
      <c r="BC157" s="181"/>
    </row>
    <row r="158" spans="1:55" ht="15" hidden="1" customHeight="1" x14ac:dyDescent="0.2">
      <c r="A158" s="4"/>
      <c r="B158" s="33" t="s">
        <v>36</v>
      </c>
      <c r="C158" s="32"/>
      <c r="D158" s="32"/>
      <c r="E158" s="32"/>
      <c r="F158" s="51" t="s">
        <v>141</v>
      </c>
      <c r="G158" s="27"/>
      <c r="H158" s="4"/>
      <c r="I158" s="4"/>
      <c r="J158" s="29"/>
      <c r="K158" s="29"/>
      <c r="L158" s="29"/>
      <c r="M158" s="29"/>
      <c r="N158" s="27"/>
      <c r="O158" s="2"/>
      <c r="P158" s="2"/>
      <c r="Q158" s="2"/>
      <c r="R158" s="2"/>
      <c r="S158" s="2"/>
      <c r="T158" s="2"/>
      <c r="U158" s="2"/>
      <c r="V158" s="2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>
        <v>15</v>
      </c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181"/>
      <c r="AY158" s="181"/>
      <c r="AZ158" s="181"/>
      <c r="BA158" s="181"/>
      <c r="BB158" s="181"/>
      <c r="BC158" s="181"/>
    </row>
    <row r="159" spans="1:55" ht="15" hidden="1" customHeight="1" thickBot="1" x14ac:dyDescent="0.25">
      <c r="A159" s="4"/>
      <c r="B159" s="37" t="s">
        <v>40</v>
      </c>
      <c r="C159" s="38"/>
      <c r="D159" s="38"/>
      <c r="E159" s="38"/>
      <c r="F159" s="52" t="s">
        <v>141</v>
      </c>
      <c r="G159" s="42"/>
      <c r="H159" s="27"/>
      <c r="I159" s="27"/>
      <c r="J159" s="32"/>
      <c r="K159" s="32"/>
      <c r="L159" s="32"/>
      <c r="M159" s="39"/>
      <c r="N159" s="4"/>
      <c r="O159" s="40"/>
      <c r="P159" s="2"/>
      <c r="Q159" s="2"/>
      <c r="R159" s="2"/>
      <c r="S159" s="2"/>
      <c r="T159" s="2"/>
      <c r="U159" s="2"/>
      <c r="V159" s="2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>
        <v>25</v>
      </c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181"/>
      <c r="AY159" s="181"/>
      <c r="AZ159" s="181"/>
      <c r="BA159" s="181"/>
      <c r="BB159" s="181"/>
      <c r="BC159" s="181"/>
    </row>
    <row r="160" spans="1:55" ht="15" hidden="1" customHeight="1" x14ac:dyDescent="0.2">
      <c r="A160" s="4"/>
      <c r="B160" s="4"/>
      <c r="C160" s="4"/>
      <c r="D160" s="4"/>
      <c r="E160" s="4"/>
      <c r="F160" s="4"/>
      <c r="G160" s="42"/>
      <c r="H160" s="27"/>
      <c r="I160" s="457" t="s">
        <v>43</v>
      </c>
      <c r="J160" s="458"/>
      <c r="K160" s="458"/>
      <c r="L160" s="458"/>
      <c r="M160" s="458"/>
      <c r="N160" s="458"/>
      <c r="O160" s="459"/>
      <c r="P160" s="2"/>
      <c r="Q160" s="2"/>
      <c r="R160" s="2"/>
      <c r="S160" s="2"/>
      <c r="T160" s="2"/>
      <c r="U160" s="2"/>
      <c r="V160" s="2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>
        <v>37.5</v>
      </c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181"/>
      <c r="AY160" s="181"/>
      <c r="AZ160" s="181"/>
      <c r="BA160" s="181"/>
      <c r="BB160" s="181"/>
      <c r="BC160" s="181"/>
    </row>
    <row r="161" spans="1:55" ht="15" hidden="1" customHeight="1" thickBot="1" x14ac:dyDescent="0.25">
      <c r="A161" s="4"/>
      <c r="B161" s="4"/>
      <c r="C161" s="4"/>
      <c r="D161" s="4"/>
      <c r="E161" s="4"/>
      <c r="F161" s="4"/>
      <c r="G161" s="32"/>
      <c r="H161" s="27"/>
      <c r="I161" s="460"/>
      <c r="J161" s="461"/>
      <c r="K161" s="461"/>
      <c r="L161" s="461"/>
      <c r="M161" s="461"/>
      <c r="N161" s="461"/>
      <c r="O161" s="462"/>
      <c r="P161" s="2"/>
      <c r="Q161" s="2"/>
      <c r="R161" s="2"/>
      <c r="S161" s="2"/>
      <c r="T161" s="2"/>
      <c r="U161" s="2"/>
      <c r="V161" s="2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>
        <v>50</v>
      </c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181"/>
      <c r="AY161" s="181"/>
      <c r="AZ161" s="181"/>
      <c r="BA161" s="181"/>
      <c r="BB161" s="181"/>
      <c r="BC161" s="181"/>
    </row>
    <row r="162" spans="1:55" ht="15" hidden="1" customHeight="1" thickBot="1" x14ac:dyDescent="0.25">
      <c r="A162" s="4"/>
      <c r="B162" s="432" t="s">
        <v>62</v>
      </c>
      <c r="C162" s="399"/>
      <c r="D162" s="399"/>
      <c r="E162" s="399"/>
      <c r="F162" s="433"/>
      <c r="G162" s="32"/>
      <c r="H162" s="4"/>
      <c r="I162" s="463"/>
      <c r="J162" s="464"/>
      <c r="K162" s="464"/>
      <c r="L162" s="464"/>
      <c r="M162" s="464"/>
      <c r="N162" s="464"/>
      <c r="O162" s="465"/>
      <c r="P162" s="2"/>
      <c r="Q162" s="2"/>
      <c r="R162" s="2"/>
      <c r="S162" s="2"/>
      <c r="T162" s="2"/>
      <c r="U162" s="2"/>
      <c r="V162" s="2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>
        <v>75</v>
      </c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181"/>
      <c r="AY162" s="181"/>
      <c r="AZ162" s="181"/>
      <c r="BA162" s="181"/>
      <c r="BB162" s="181"/>
      <c r="BC162" s="181"/>
    </row>
    <row r="163" spans="1:55" ht="20.100000000000001" hidden="1" customHeight="1" thickBot="1" x14ac:dyDescent="0.25">
      <c r="A163" s="4"/>
      <c r="B163" s="434"/>
      <c r="C163" s="435"/>
      <c r="D163" s="435"/>
      <c r="E163" s="435"/>
      <c r="F163" s="436"/>
      <c r="G163" s="32"/>
      <c r="H163" s="4"/>
      <c r="I163" s="455" t="s">
        <v>73</v>
      </c>
      <c r="J163" s="456"/>
      <c r="K163" s="456"/>
      <c r="L163" s="456"/>
      <c r="M163" s="456"/>
      <c r="N163" s="466" t="str">
        <f>F179</f>
        <v/>
      </c>
      <c r="O163" s="467"/>
      <c r="P163" s="2"/>
      <c r="Q163" s="2"/>
      <c r="R163" s="2"/>
      <c r="S163" s="2"/>
      <c r="T163" s="2"/>
      <c r="U163" s="2"/>
      <c r="V163" s="2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>
        <v>100</v>
      </c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181"/>
      <c r="AY163" s="181"/>
      <c r="AZ163" s="181"/>
      <c r="BA163" s="181"/>
      <c r="BB163" s="181"/>
      <c r="BC163" s="181"/>
    </row>
    <row r="164" spans="1:55" ht="15" hidden="1" customHeight="1" x14ac:dyDescent="0.2">
      <c r="A164" s="4"/>
      <c r="B164" s="33" t="s">
        <v>74</v>
      </c>
      <c r="C164" s="32"/>
      <c r="D164" s="32"/>
      <c r="E164" s="32"/>
      <c r="F164" s="36"/>
      <c r="G164" s="32"/>
      <c r="H164" s="4"/>
      <c r="I164" s="455"/>
      <c r="J164" s="456"/>
      <c r="K164" s="456"/>
      <c r="L164" s="456"/>
      <c r="M164" s="456"/>
      <c r="N164" s="468"/>
      <c r="O164" s="469"/>
      <c r="P164" s="2"/>
      <c r="Q164" s="2"/>
      <c r="R164" s="2"/>
      <c r="S164" s="2"/>
      <c r="T164" s="2"/>
      <c r="U164" s="2"/>
      <c r="V164" s="2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>
        <v>167</v>
      </c>
      <c r="AH164" s="28"/>
      <c r="AI164" s="28" t="s">
        <v>37</v>
      </c>
      <c r="AJ164" s="28"/>
      <c r="AK164" s="28" t="s">
        <v>38</v>
      </c>
      <c r="AL164" s="28"/>
      <c r="AM164" s="28" t="s">
        <v>39</v>
      </c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181"/>
      <c r="AY164" s="181"/>
      <c r="AZ164" s="181"/>
      <c r="BA164" s="181"/>
      <c r="BB164" s="181"/>
      <c r="BC164" s="181"/>
    </row>
    <row r="165" spans="1:55" ht="15" hidden="1" customHeight="1" x14ac:dyDescent="0.2">
      <c r="A165" s="4"/>
      <c r="B165" s="33" t="s">
        <v>69</v>
      </c>
      <c r="C165" s="32"/>
      <c r="D165" s="32"/>
      <c r="E165" s="32"/>
      <c r="F165" s="34"/>
      <c r="G165" s="27"/>
      <c r="H165" s="4"/>
      <c r="I165" s="455" t="s">
        <v>75</v>
      </c>
      <c r="J165" s="456"/>
      <c r="K165" s="456"/>
      <c r="L165" s="456"/>
      <c r="M165" s="456"/>
      <c r="N165" s="430"/>
      <c r="O165" s="431"/>
      <c r="P165" s="2"/>
      <c r="Q165" s="2"/>
      <c r="R165" s="2"/>
      <c r="S165" s="2"/>
      <c r="T165" s="2"/>
      <c r="U165" s="2"/>
      <c r="V165" s="2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>
        <v>1</v>
      </c>
      <c r="AK165" s="28"/>
      <c r="AL165" s="28"/>
      <c r="AM165" s="41" t="e">
        <f>ROUND(F158,0)</f>
        <v>#VALUE!</v>
      </c>
      <c r="AN165" s="28" t="s">
        <v>41</v>
      </c>
      <c r="AO165" s="28"/>
      <c r="AP165" s="28"/>
      <c r="AQ165" s="28"/>
      <c r="AR165" s="28"/>
      <c r="AS165" s="28"/>
      <c r="AT165" s="28"/>
      <c r="AU165" s="28"/>
      <c r="AV165" s="28"/>
      <c r="AW165" s="28"/>
      <c r="AX165" s="181"/>
      <c r="AY165" s="181"/>
      <c r="AZ165" s="181"/>
      <c r="BA165" s="181"/>
      <c r="BB165" s="181"/>
      <c r="BC165" s="181"/>
    </row>
    <row r="166" spans="1:55" ht="15" hidden="1" customHeight="1" x14ac:dyDescent="0.2">
      <c r="A166" s="4"/>
      <c r="B166" s="33" t="s">
        <v>46</v>
      </c>
      <c r="C166" s="32"/>
      <c r="D166" s="32"/>
      <c r="E166" s="32"/>
      <c r="F166" s="53" t="str">
        <f>IF(AK183=0,"",AK183)</f>
        <v/>
      </c>
      <c r="G166" s="27"/>
      <c r="H166" s="4"/>
      <c r="I166" s="455"/>
      <c r="J166" s="456"/>
      <c r="K166" s="456"/>
      <c r="L166" s="456"/>
      <c r="M166" s="456"/>
      <c r="N166" s="430"/>
      <c r="O166" s="431"/>
      <c r="P166" s="2"/>
      <c r="Q166" s="2"/>
      <c r="R166" s="2"/>
      <c r="S166" s="2"/>
      <c r="T166" s="2"/>
      <c r="U166" s="2"/>
      <c r="V166" s="2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>
        <v>2</v>
      </c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181"/>
      <c r="AY166" s="181"/>
      <c r="AZ166" s="181"/>
      <c r="BA166" s="181"/>
      <c r="BB166" s="181"/>
      <c r="BC166" s="181"/>
    </row>
    <row r="167" spans="1:55" ht="15" hidden="1" customHeight="1" x14ac:dyDescent="0.2">
      <c r="A167" s="4"/>
      <c r="B167" s="33" t="s">
        <v>47</v>
      </c>
      <c r="C167" s="30"/>
      <c r="D167" s="30"/>
      <c r="E167" s="30"/>
      <c r="F167" s="10" t="s">
        <v>141</v>
      </c>
      <c r="G167" s="27"/>
      <c r="H167" s="4"/>
      <c r="I167" s="455" t="s">
        <v>76</v>
      </c>
      <c r="J167" s="456"/>
      <c r="K167" s="456"/>
      <c r="L167" s="456"/>
      <c r="M167" s="456"/>
      <c r="N167" s="430"/>
      <c r="O167" s="431"/>
      <c r="P167" s="2"/>
      <c r="Q167" s="2"/>
      <c r="R167" s="2"/>
      <c r="S167" s="2"/>
      <c r="T167" s="2"/>
      <c r="U167" s="2"/>
      <c r="V167" s="2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>
        <v>3</v>
      </c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181"/>
      <c r="AY167" s="181"/>
      <c r="AZ167" s="181"/>
      <c r="BA167" s="181"/>
      <c r="BB167" s="181"/>
      <c r="BC167" s="181"/>
    </row>
    <row r="168" spans="1:55" ht="15" hidden="1" customHeight="1" x14ac:dyDescent="0.2">
      <c r="A168" s="4"/>
      <c r="B168" s="33" t="s">
        <v>53</v>
      </c>
      <c r="C168" s="32"/>
      <c r="D168" s="32"/>
      <c r="E168" s="32"/>
      <c r="F168" s="54" t="s">
        <v>141</v>
      </c>
      <c r="G168" s="27"/>
      <c r="H168" s="27"/>
      <c r="I168" s="455"/>
      <c r="J168" s="456"/>
      <c r="K168" s="456"/>
      <c r="L168" s="456"/>
      <c r="M168" s="456"/>
      <c r="N168" s="430"/>
      <c r="O168" s="431"/>
      <c r="P168" s="2"/>
      <c r="Q168" s="2"/>
      <c r="R168" s="2"/>
      <c r="S168" s="2"/>
      <c r="T168" s="2"/>
      <c r="U168" s="2"/>
      <c r="V168" s="2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>
        <v>4</v>
      </c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181"/>
      <c r="AY168" s="181"/>
      <c r="AZ168" s="181"/>
      <c r="BA168" s="181"/>
      <c r="BB168" s="181"/>
      <c r="BC168" s="181"/>
    </row>
    <row r="169" spans="1:55" ht="15" hidden="1" customHeight="1" thickBot="1" x14ac:dyDescent="0.25">
      <c r="A169" s="4"/>
      <c r="B169" s="33" t="s">
        <v>72</v>
      </c>
      <c r="C169" s="32"/>
      <c r="D169" s="32"/>
      <c r="E169" s="32"/>
      <c r="F169" s="49" t="str">
        <f>IF(ISERROR((F168*AK183)/100),"",(F168*AK183)/100)</f>
        <v/>
      </c>
      <c r="G169" s="27"/>
      <c r="H169" s="27"/>
      <c r="I169" s="455" t="s">
        <v>71</v>
      </c>
      <c r="J169" s="456"/>
      <c r="K169" s="456"/>
      <c r="L169" s="456"/>
      <c r="M169" s="456"/>
      <c r="N169" s="430" t="s">
        <v>141</v>
      </c>
      <c r="O169" s="431"/>
      <c r="P169" s="2"/>
      <c r="Q169" s="2"/>
      <c r="R169" s="2"/>
      <c r="S169" s="2"/>
      <c r="T169" s="2"/>
      <c r="U169" s="2"/>
      <c r="V169" s="2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>
        <v>5</v>
      </c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181"/>
      <c r="AY169" s="181"/>
      <c r="AZ169" s="181"/>
      <c r="BA169" s="181"/>
      <c r="BB169" s="181"/>
      <c r="BC169" s="181"/>
    </row>
    <row r="170" spans="1:55" ht="15" hidden="1" customHeight="1" x14ac:dyDescent="0.2">
      <c r="A170" s="4"/>
      <c r="B170" s="43"/>
      <c r="C170" s="44"/>
      <c r="D170" s="44"/>
      <c r="E170" s="44"/>
      <c r="F170" s="45"/>
      <c r="G170" s="27"/>
      <c r="H170" s="27"/>
      <c r="I170" s="455"/>
      <c r="J170" s="456"/>
      <c r="K170" s="456"/>
      <c r="L170" s="456"/>
      <c r="M170" s="456"/>
      <c r="N170" s="430"/>
      <c r="O170" s="431"/>
      <c r="P170" s="2"/>
      <c r="Q170" s="2"/>
      <c r="R170" s="2"/>
      <c r="S170" s="2"/>
      <c r="T170" s="2"/>
      <c r="U170" s="2"/>
      <c r="V170" s="2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>
        <v>6</v>
      </c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181"/>
      <c r="AY170" s="181"/>
      <c r="AZ170" s="181"/>
      <c r="BA170" s="181"/>
      <c r="BB170" s="181"/>
      <c r="BC170" s="181"/>
    </row>
    <row r="171" spans="1:55" ht="15" hidden="1" customHeight="1" thickBot="1" x14ac:dyDescent="0.25">
      <c r="A171" s="4"/>
      <c r="B171" s="46"/>
      <c r="C171" s="47"/>
      <c r="D171" s="47"/>
      <c r="E171" s="47"/>
      <c r="F171" s="48"/>
      <c r="G171" s="27"/>
      <c r="H171" s="27"/>
      <c r="I171" s="455" t="s">
        <v>77</v>
      </c>
      <c r="J171" s="456"/>
      <c r="K171" s="456"/>
      <c r="L171" s="456"/>
      <c r="M171" s="456"/>
      <c r="N171" s="470" t="s">
        <v>141</v>
      </c>
      <c r="O171" s="471"/>
      <c r="P171" s="2"/>
      <c r="Q171" s="2"/>
      <c r="R171" s="2"/>
      <c r="S171" s="2"/>
      <c r="T171" s="2"/>
      <c r="U171" s="2"/>
      <c r="V171" s="2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>
        <v>7</v>
      </c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181"/>
      <c r="AY171" s="181"/>
      <c r="AZ171" s="181"/>
      <c r="BA171" s="181"/>
      <c r="BB171" s="181"/>
      <c r="BC171" s="181"/>
    </row>
    <row r="172" spans="1:55" ht="15" hidden="1" customHeight="1" x14ac:dyDescent="0.2">
      <c r="A172" s="4"/>
      <c r="B172" s="27"/>
      <c r="C172" s="27"/>
      <c r="D172" s="35"/>
      <c r="E172" s="35"/>
      <c r="F172" s="27"/>
      <c r="G172" s="4"/>
      <c r="H172" s="4"/>
      <c r="I172" s="455"/>
      <c r="J172" s="456"/>
      <c r="K172" s="456"/>
      <c r="L172" s="456"/>
      <c r="M172" s="456"/>
      <c r="N172" s="470"/>
      <c r="O172" s="471"/>
      <c r="P172" s="2"/>
      <c r="Q172" s="2"/>
      <c r="R172" s="2"/>
      <c r="S172" s="2"/>
      <c r="T172" s="2"/>
      <c r="U172" s="2"/>
      <c r="V172" s="2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>
        <v>8</v>
      </c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181"/>
      <c r="AY172" s="181"/>
      <c r="AZ172" s="181"/>
      <c r="BA172" s="181"/>
      <c r="BB172" s="181"/>
      <c r="BC172" s="181"/>
    </row>
    <row r="173" spans="1:55" ht="15" hidden="1" customHeight="1" thickBot="1" x14ac:dyDescent="0.25">
      <c r="A173" s="4"/>
      <c r="B173" s="2"/>
      <c r="C173" s="2"/>
      <c r="D173" s="2"/>
      <c r="E173" s="2"/>
      <c r="F173" s="2"/>
      <c r="G173" s="4"/>
      <c r="H173" s="4"/>
      <c r="I173" s="455" t="s">
        <v>78</v>
      </c>
      <c r="J173" s="456"/>
      <c r="K173" s="456"/>
      <c r="L173" s="456"/>
      <c r="M173" s="472"/>
      <c r="N173" s="476" t="str">
        <f>IF(ISERROR((N163*100)/N171),"",(N163*100)/N171)</f>
        <v/>
      </c>
      <c r="O173" s="477"/>
      <c r="P173" s="2"/>
      <c r="Q173" s="2"/>
      <c r="R173" s="2"/>
      <c r="S173" s="2"/>
      <c r="T173" s="2"/>
      <c r="U173" s="2"/>
      <c r="V173" s="2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 t="s">
        <v>48</v>
      </c>
      <c r="AJ173" s="28"/>
      <c r="AK173" s="28" t="s">
        <v>49</v>
      </c>
      <c r="AL173" s="28"/>
      <c r="AM173" s="28" t="s">
        <v>50</v>
      </c>
      <c r="AN173" s="28"/>
      <c r="AO173" s="28" t="s">
        <v>51</v>
      </c>
      <c r="AP173" s="28"/>
      <c r="AQ173" s="28"/>
      <c r="AR173" s="28"/>
      <c r="AS173" s="28"/>
      <c r="AT173" s="28"/>
      <c r="AU173" s="28"/>
      <c r="AV173" s="28"/>
      <c r="AW173" s="28"/>
      <c r="AX173" s="181"/>
      <c r="AY173" s="181"/>
      <c r="AZ173" s="181"/>
      <c r="BA173" s="181"/>
      <c r="BB173" s="181"/>
      <c r="BC173" s="181"/>
    </row>
    <row r="174" spans="1:55" ht="15" hidden="1" customHeight="1" thickBot="1" x14ac:dyDescent="0.25">
      <c r="A174" s="4"/>
      <c r="B174" s="480" t="s">
        <v>42</v>
      </c>
      <c r="C174" s="481"/>
      <c r="D174" s="481"/>
      <c r="E174" s="481"/>
      <c r="F174" s="482"/>
      <c r="G174" s="4"/>
      <c r="H174" s="4"/>
      <c r="I174" s="473"/>
      <c r="J174" s="474"/>
      <c r="K174" s="474"/>
      <c r="L174" s="474"/>
      <c r="M174" s="475"/>
      <c r="N174" s="478"/>
      <c r="O174" s="479"/>
      <c r="P174" s="2"/>
      <c r="Q174" s="2"/>
      <c r="R174" s="2"/>
      <c r="S174" s="2"/>
      <c r="T174" s="2"/>
      <c r="U174" s="2"/>
      <c r="V174" s="2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 t="s">
        <v>79</v>
      </c>
      <c r="AK174" s="28"/>
      <c r="AL174" s="28"/>
      <c r="AM174" s="28"/>
      <c r="AN174" s="28"/>
      <c r="AO174" s="41" t="e">
        <f>ROUND(N169,0)</f>
        <v>#VALUE!</v>
      </c>
      <c r="AP174" s="28"/>
      <c r="AQ174" s="28"/>
      <c r="AR174" s="28"/>
      <c r="AS174" s="28"/>
      <c r="AT174" s="28"/>
      <c r="AU174" s="28"/>
      <c r="AV174" s="28"/>
      <c r="AW174" s="28"/>
      <c r="AX174" s="181"/>
      <c r="AY174" s="181"/>
      <c r="AZ174" s="181"/>
      <c r="BA174" s="181"/>
      <c r="BB174" s="181"/>
      <c r="BC174" s="181"/>
    </row>
    <row r="175" spans="1:55" ht="15" hidden="1" customHeight="1" thickBot="1" x14ac:dyDescent="0.25">
      <c r="A175" s="4"/>
      <c r="B175" s="483"/>
      <c r="C175" s="484"/>
      <c r="D175" s="484"/>
      <c r="E175" s="484"/>
      <c r="F175" s="485"/>
      <c r="G175" s="4"/>
      <c r="H175" s="4"/>
      <c r="I175" s="55"/>
      <c r="J175" s="56"/>
      <c r="K175" s="56"/>
      <c r="L175" s="56"/>
      <c r="M175" s="56"/>
      <c r="N175" s="56"/>
      <c r="O175" s="57"/>
      <c r="P175" s="2"/>
      <c r="Q175" s="2"/>
      <c r="R175" s="2"/>
      <c r="S175" s="2"/>
      <c r="T175" s="2"/>
      <c r="U175" s="2"/>
      <c r="V175" s="2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 t="s">
        <v>60</v>
      </c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181"/>
      <c r="AY175" s="181"/>
      <c r="AZ175" s="181"/>
      <c r="BA175" s="181"/>
      <c r="BB175" s="181"/>
      <c r="BC175" s="181"/>
    </row>
    <row r="176" spans="1:55" ht="15" hidden="1" customHeight="1" x14ac:dyDescent="0.2">
      <c r="A176" s="2"/>
      <c r="B176" s="58" t="s">
        <v>80</v>
      </c>
      <c r="C176" s="30"/>
      <c r="D176" s="30"/>
      <c r="E176" s="30"/>
      <c r="F176" s="59">
        <v>3.33</v>
      </c>
      <c r="G176" s="4"/>
      <c r="H176" s="4"/>
      <c r="I176" s="33"/>
      <c r="J176" s="29"/>
      <c r="K176" s="29"/>
      <c r="L176" s="29"/>
      <c r="M176" s="29"/>
      <c r="N176" s="29"/>
      <c r="O176" s="60"/>
      <c r="P176" s="2"/>
      <c r="Q176" s="2"/>
      <c r="R176" s="2"/>
      <c r="S176" s="2"/>
      <c r="T176" s="2"/>
      <c r="U176" s="2"/>
      <c r="V176" s="2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 t="s">
        <v>61</v>
      </c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181"/>
      <c r="AY176" s="181"/>
      <c r="AZ176" s="181"/>
      <c r="BA176" s="181"/>
      <c r="BB176" s="181"/>
      <c r="BC176" s="181"/>
    </row>
    <row r="177" spans="1:75" ht="15" hidden="1" customHeight="1" x14ac:dyDescent="0.2">
      <c r="A177" s="2"/>
      <c r="B177" s="58" t="s">
        <v>72</v>
      </c>
      <c r="C177" s="30"/>
      <c r="D177" s="30"/>
      <c r="E177" s="30"/>
      <c r="F177" s="61" t="str">
        <f>F169</f>
        <v/>
      </c>
      <c r="G177" s="4"/>
      <c r="H177" s="4"/>
      <c r="I177" s="62"/>
      <c r="J177" s="29"/>
      <c r="K177" s="29"/>
      <c r="L177" s="29"/>
      <c r="M177" s="29"/>
      <c r="N177" s="29"/>
      <c r="O177" s="60"/>
      <c r="P177" s="2"/>
      <c r="Q177" s="2"/>
      <c r="R177" s="2"/>
      <c r="S177" s="2"/>
      <c r="T177" s="2"/>
      <c r="U177" s="2"/>
      <c r="V177" s="2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 t="s">
        <v>63</v>
      </c>
      <c r="AK177" s="28" t="s">
        <v>59</v>
      </c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181"/>
      <c r="AY177" s="181"/>
      <c r="AZ177" s="181"/>
      <c r="BA177" s="181"/>
      <c r="BB177" s="181"/>
      <c r="BC177" s="181"/>
    </row>
    <row r="178" spans="1:75" ht="15" hidden="1" customHeight="1" thickBot="1" x14ac:dyDescent="0.25">
      <c r="A178" s="2"/>
      <c r="B178" s="58" t="s">
        <v>40</v>
      </c>
      <c r="C178" s="30"/>
      <c r="D178" s="30"/>
      <c r="E178" s="30"/>
      <c r="F178" s="63" t="str">
        <f>F159</f>
        <v/>
      </c>
      <c r="G178" s="2"/>
      <c r="H178" s="2"/>
      <c r="I178" s="46"/>
      <c r="J178" s="47"/>
      <c r="K178" s="47"/>
      <c r="L178" s="47"/>
      <c r="M178" s="47"/>
      <c r="N178" s="47"/>
      <c r="O178" s="48"/>
      <c r="P178" s="2"/>
      <c r="Q178" s="2"/>
      <c r="R178" s="2"/>
      <c r="S178" s="2"/>
      <c r="T178" s="2"/>
      <c r="U178" s="2"/>
      <c r="V178" s="2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 t="s">
        <v>67</v>
      </c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181"/>
      <c r="AY178" s="181"/>
      <c r="AZ178" s="181"/>
      <c r="BA178" s="181"/>
      <c r="BB178" s="181"/>
      <c r="BC178" s="181"/>
    </row>
    <row r="179" spans="1:75" s="64" customFormat="1" ht="24.95" hidden="1" customHeight="1" thickBot="1" x14ac:dyDescent="0.25">
      <c r="B179" s="65" t="s">
        <v>81</v>
      </c>
      <c r="C179" s="213"/>
      <c r="D179" s="213"/>
      <c r="E179" s="213"/>
      <c r="F179" s="66" t="str">
        <f>IF(ISERROR(IF(F176-(F177+F178)&lt;0,"Invalid Solution",(F176-(F177+F178)))),"",IF(F176-(F177+F178)&lt;0,"Invalid Solution",(F176-(F177+F178))))</f>
        <v/>
      </c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181"/>
      <c r="AY179" s="181"/>
      <c r="AZ179" s="181"/>
      <c r="BA179" s="181"/>
      <c r="BB179" s="181"/>
      <c r="BC179" s="181"/>
      <c r="BD179" s="180"/>
      <c r="BE179" s="180"/>
      <c r="BF179" s="180"/>
      <c r="BG179" s="180"/>
      <c r="BH179" s="180"/>
      <c r="BI179" s="180"/>
      <c r="BJ179" s="180"/>
      <c r="BK179" s="180"/>
      <c r="BL179" s="180"/>
      <c r="BM179" s="180"/>
      <c r="BN179" s="180"/>
      <c r="BO179" s="180"/>
      <c r="BP179" s="180"/>
      <c r="BQ179" s="180"/>
      <c r="BR179" s="180"/>
      <c r="BS179" s="180"/>
      <c r="BT179" s="180"/>
      <c r="BU179" s="180"/>
      <c r="BV179" s="180"/>
      <c r="BW179" s="180"/>
    </row>
    <row r="180" spans="1:75" ht="15" hidden="1" customHeight="1" x14ac:dyDescent="0.2">
      <c r="A180" s="2"/>
      <c r="B180" s="432" t="s">
        <v>82</v>
      </c>
      <c r="C180" s="399"/>
      <c r="D180" s="399"/>
      <c r="E180" s="399"/>
      <c r="F180" s="43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 t="s">
        <v>64</v>
      </c>
      <c r="AL180" s="28"/>
      <c r="AM180" s="28" t="s">
        <v>65</v>
      </c>
      <c r="AN180" s="28"/>
      <c r="AO180" s="28" t="s">
        <v>66</v>
      </c>
      <c r="AP180" s="28"/>
      <c r="AQ180" s="28"/>
      <c r="AR180" s="28"/>
      <c r="AS180" s="28"/>
      <c r="AT180" s="28"/>
      <c r="AU180" s="28"/>
      <c r="AV180" s="28"/>
      <c r="AW180" s="28"/>
      <c r="AX180" s="181"/>
      <c r="AY180" s="181"/>
      <c r="AZ180" s="181"/>
      <c r="BA180" s="181"/>
      <c r="BB180" s="181"/>
      <c r="BC180" s="181"/>
    </row>
    <row r="181" spans="1:75" ht="15" hidden="1" customHeight="1" thickBot="1" x14ac:dyDescent="0.25">
      <c r="A181" s="2"/>
      <c r="B181" s="434"/>
      <c r="C181" s="435"/>
      <c r="D181" s="435"/>
      <c r="E181" s="435"/>
      <c r="F181" s="43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41" t="e">
        <f>ROUND(F167,0)</f>
        <v>#VALUE!</v>
      </c>
      <c r="AP181" s="28"/>
      <c r="AQ181" s="28"/>
      <c r="AR181" s="28"/>
      <c r="AS181" s="28"/>
      <c r="AT181" s="28"/>
      <c r="AU181" s="28"/>
      <c r="AV181" s="28"/>
      <c r="AW181" s="28"/>
      <c r="AX181" s="181"/>
      <c r="AY181" s="181"/>
      <c r="AZ181" s="181"/>
      <c r="BA181" s="181"/>
      <c r="BB181" s="181"/>
      <c r="BC181" s="181"/>
    </row>
    <row r="182" spans="1:75" ht="15" hidden="1" customHeight="1" x14ac:dyDescent="0.2">
      <c r="A182" s="2"/>
      <c r="B182" s="2"/>
      <c r="C182" s="30"/>
      <c r="D182" s="30"/>
      <c r="E182" s="30"/>
      <c r="F182" s="30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 t="s">
        <v>68</v>
      </c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181"/>
      <c r="AY182" s="181"/>
      <c r="AZ182" s="181"/>
      <c r="BA182" s="181"/>
      <c r="BB182" s="181"/>
      <c r="BC182" s="181"/>
    </row>
    <row r="183" spans="1:75" ht="15" hidden="1" customHeight="1" x14ac:dyDescent="0.2">
      <c r="A183" s="2"/>
      <c r="B183" s="2"/>
      <c r="C183" s="30"/>
      <c r="D183" s="30"/>
      <c r="E183" s="30"/>
      <c r="F183" s="30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181"/>
      <c r="AY183" s="181"/>
      <c r="AZ183" s="181"/>
      <c r="BA183" s="181"/>
      <c r="BB183" s="181"/>
      <c r="BC183" s="181"/>
    </row>
    <row r="184" spans="1:75" ht="15" hidden="1" customHeight="1" x14ac:dyDescent="0.2">
      <c r="A184" s="2"/>
      <c r="B184" s="68"/>
      <c r="C184" s="30"/>
      <c r="D184" s="30"/>
      <c r="E184" s="30"/>
      <c r="F184" s="30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181"/>
      <c r="AY184" s="181"/>
      <c r="AZ184" s="181"/>
      <c r="BA184" s="181"/>
      <c r="BB184" s="181"/>
      <c r="BC184" s="181"/>
    </row>
    <row r="185" spans="1:75" hidden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181"/>
      <c r="AY185" s="181"/>
      <c r="AZ185" s="181"/>
      <c r="BA185" s="181"/>
      <c r="BB185" s="181"/>
      <c r="BC185" s="181"/>
    </row>
    <row r="186" spans="1:75" hidden="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AX186" s="181"/>
      <c r="AY186" s="181"/>
      <c r="AZ186" s="181"/>
      <c r="BA186" s="181"/>
      <c r="BB186" s="181"/>
      <c r="BC186" s="181"/>
    </row>
    <row r="187" spans="1:75" hidden="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AX187" s="181"/>
      <c r="AY187" s="181"/>
      <c r="AZ187" s="181"/>
      <c r="BA187" s="181"/>
      <c r="BB187" s="181"/>
      <c r="BC187" s="181"/>
    </row>
    <row r="188" spans="1:75" hidden="1" x14ac:dyDescent="0.2">
      <c r="C188" s="30"/>
      <c r="D188" s="30"/>
      <c r="E188" s="30"/>
      <c r="F188" s="30"/>
      <c r="G188" s="30"/>
      <c r="H188" s="2"/>
      <c r="I188" s="2"/>
      <c r="J188" s="2"/>
      <c r="K188" s="2"/>
      <c r="L188" s="2"/>
      <c r="AX188" s="181"/>
      <c r="AY188" s="181"/>
      <c r="AZ188" s="181"/>
      <c r="BA188" s="181"/>
      <c r="BB188" s="181"/>
      <c r="BC188" s="181"/>
    </row>
    <row r="189" spans="1:75" hidden="1" x14ac:dyDescent="0.2">
      <c r="C189" s="400"/>
      <c r="D189" s="400"/>
      <c r="E189" s="400"/>
      <c r="F189" s="400"/>
      <c r="G189" s="400"/>
      <c r="H189" s="30"/>
      <c r="I189" s="30"/>
      <c r="J189" s="30"/>
      <c r="K189" s="2"/>
      <c r="L189" s="2"/>
      <c r="AX189" s="181"/>
      <c r="AY189" s="181"/>
      <c r="AZ189" s="181"/>
      <c r="BA189" s="181"/>
      <c r="BB189" s="181"/>
      <c r="BC189" s="181"/>
    </row>
    <row r="190" spans="1:75" ht="12.75" hidden="1" customHeight="1" x14ac:dyDescent="0.2">
      <c r="C190" s="400"/>
      <c r="D190" s="400"/>
      <c r="E190" s="400"/>
      <c r="F190" s="400"/>
      <c r="G190" s="400"/>
      <c r="H190" s="154"/>
      <c r="I190" s="154"/>
      <c r="J190" s="154"/>
      <c r="K190" s="2"/>
      <c r="L190" s="2"/>
      <c r="AX190" s="181"/>
      <c r="AY190" s="181"/>
      <c r="AZ190" s="181"/>
      <c r="BA190" s="181"/>
      <c r="BB190" s="181"/>
      <c r="BC190" s="181"/>
    </row>
    <row r="191" spans="1:75" ht="12.75" hidden="1" customHeight="1" x14ac:dyDescent="0.2">
      <c r="C191" s="30"/>
      <c r="D191" s="32"/>
      <c r="E191" s="32"/>
      <c r="F191" s="32"/>
      <c r="G191" s="177"/>
      <c r="H191" s="154"/>
      <c r="I191" s="154"/>
      <c r="J191" s="154"/>
      <c r="K191" s="2"/>
      <c r="L191" s="2"/>
      <c r="AX191" s="181"/>
      <c r="AY191" s="181"/>
      <c r="AZ191" s="181"/>
      <c r="BA191" s="181"/>
      <c r="BB191" s="181"/>
      <c r="BC191" s="181"/>
    </row>
    <row r="192" spans="1:75" ht="12.75" hidden="1" customHeight="1" x14ac:dyDescent="0.2">
      <c r="C192" s="30"/>
      <c r="D192" s="2"/>
      <c r="E192" s="2"/>
      <c r="F192" s="2"/>
      <c r="G192" s="2"/>
      <c r="H192" s="2"/>
      <c r="I192" s="2"/>
      <c r="J192" s="155"/>
      <c r="K192" s="155"/>
      <c r="L192" s="2"/>
      <c r="AX192" s="181"/>
      <c r="AY192" s="181"/>
      <c r="AZ192" s="181"/>
      <c r="BA192" s="181"/>
      <c r="BB192" s="181"/>
      <c r="BC192" s="181"/>
    </row>
    <row r="193" spans="3:55" ht="12.75" hidden="1" customHeight="1" x14ac:dyDescent="0.2">
      <c r="C193" s="30"/>
      <c r="D193" s="2"/>
      <c r="E193" s="2"/>
      <c r="F193" s="2"/>
      <c r="G193" s="2"/>
      <c r="H193" s="2"/>
      <c r="I193" s="2"/>
      <c r="J193" s="155"/>
      <c r="K193" s="155"/>
      <c r="L193" s="155"/>
      <c r="AX193" s="181"/>
      <c r="AY193" s="181"/>
      <c r="AZ193" s="181"/>
      <c r="BA193" s="181"/>
      <c r="BB193" s="181"/>
      <c r="BC193" s="181"/>
    </row>
    <row r="194" spans="3:55" hidden="1" x14ac:dyDescent="0.2">
      <c r="C194" s="30"/>
      <c r="D194" s="32"/>
      <c r="E194" s="32"/>
      <c r="F194" s="32"/>
      <c r="G194" s="30"/>
      <c r="H194" s="2"/>
      <c r="I194" s="2"/>
      <c r="J194" s="2"/>
      <c r="K194" s="2"/>
      <c r="L194" s="2"/>
      <c r="AX194" s="181"/>
      <c r="AY194" s="181"/>
      <c r="AZ194" s="181"/>
      <c r="BA194" s="181"/>
      <c r="BB194" s="181"/>
      <c r="BC194" s="181"/>
    </row>
    <row r="195" spans="3:55" hidden="1" x14ac:dyDescent="0.2">
      <c r="C195" s="30"/>
      <c r="D195" s="32"/>
      <c r="E195" s="32"/>
      <c r="F195" s="32"/>
      <c r="G195" s="30"/>
      <c r="H195" s="2"/>
      <c r="I195" s="2"/>
      <c r="J195" s="2"/>
      <c r="K195" s="2"/>
      <c r="L195" s="2"/>
      <c r="AX195" s="181"/>
      <c r="AY195" s="181"/>
      <c r="AZ195" s="181"/>
      <c r="BA195" s="181"/>
      <c r="BB195" s="181"/>
      <c r="BC195" s="181"/>
    </row>
    <row r="196" spans="3:55" hidden="1" x14ac:dyDescent="0.2">
      <c r="C196" s="30"/>
      <c r="D196" s="32"/>
      <c r="E196" s="32"/>
      <c r="F196" s="32"/>
      <c r="G196" s="69"/>
      <c r="H196" s="2"/>
      <c r="I196" s="2"/>
      <c r="J196" s="2"/>
      <c r="K196" s="2"/>
      <c r="L196" s="2"/>
      <c r="AX196" s="181"/>
      <c r="AY196" s="181"/>
      <c r="AZ196" s="181"/>
      <c r="BA196" s="181"/>
      <c r="BB196" s="181"/>
      <c r="BC196" s="181"/>
    </row>
    <row r="197" spans="3:55" hidden="1" x14ac:dyDescent="0.2">
      <c r="C197" s="2"/>
      <c r="D197" s="2"/>
      <c r="E197" s="2"/>
      <c r="F197" s="2"/>
      <c r="G197" s="2"/>
      <c r="H197" s="2"/>
      <c r="I197" s="2"/>
      <c r="J197" s="2"/>
      <c r="K197" s="2"/>
      <c r="L197" s="2"/>
      <c r="AX197" s="181"/>
      <c r="AY197" s="181"/>
      <c r="AZ197" s="181"/>
      <c r="BA197" s="181"/>
      <c r="BB197" s="181"/>
      <c r="BC197" s="181"/>
    </row>
    <row r="198" spans="3:55" hidden="1" x14ac:dyDescent="0.2">
      <c r="C198" s="2"/>
      <c r="D198" s="2"/>
      <c r="E198" s="2"/>
      <c r="F198" s="2"/>
      <c r="G198" s="2"/>
      <c r="H198" s="2"/>
      <c r="I198" s="2"/>
      <c r="J198" s="2"/>
      <c r="K198" s="2"/>
      <c r="L198" s="2"/>
      <c r="AX198" s="181"/>
      <c r="AY198" s="181"/>
      <c r="AZ198" s="181"/>
      <c r="BA198" s="181"/>
      <c r="BB198" s="181"/>
      <c r="BC198" s="181"/>
    </row>
    <row r="199" spans="3:55" x14ac:dyDescent="0.2">
      <c r="C199" s="2"/>
      <c r="D199" s="2"/>
      <c r="E199" s="2"/>
      <c r="F199" s="2"/>
      <c r="G199" s="2"/>
      <c r="H199" s="2"/>
      <c r="I199" s="2"/>
      <c r="J199" s="2"/>
      <c r="K199" s="2"/>
      <c r="L199" s="2"/>
      <c r="AX199" s="181"/>
      <c r="AY199" s="181"/>
      <c r="AZ199" s="181"/>
      <c r="BA199" s="181"/>
      <c r="BB199" s="181"/>
      <c r="BC199" s="181"/>
    </row>
    <row r="200" spans="3:55" x14ac:dyDescent="0.2">
      <c r="C200" s="2"/>
      <c r="D200" s="2"/>
      <c r="E200" s="2"/>
      <c r="F200" s="2"/>
      <c r="G200" s="2"/>
      <c r="H200" s="2"/>
      <c r="I200" s="2"/>
      <c r="J200" s="2"/>
      <c r="K200" s="2"/>
      <c r="L200" s="2"/>
      <c r="AX200" s="181"/>
      <c r="AY200" s="181"/>
      <c r="AZ200" s="181"/>
      <c r="BA200" s="181"/>
      <c r="BB200" s="181"/>
      <c r="BC200" s="181"/>
    </row>
    <row r="201" spans="3:55" x14ac:dyDescent="0.2">
      <c r="C201" s="2"/>
      <c r="D201" s="2"/>
      <c r="E201" s="2"/>
      <c r="F201" s="2"/>
      <c r="G201" s="2"/>
      <c r="H201" s="2"/>
      <c r="I201" s="2"/>
      <c r="J201" s="2"/>
      <c r="K201" s="2"/>
      <c r="L201" s="2"/>
      <c r="AX201" s="181"/>
      <c r="AY201" s="181"/>
      <c r="AZ201" s="181"/>
      <c r="BA201" s="181"/>
      <c r="BB201" s="181"/>
      <c r="BC201" s="181"/>
    </row>
    <row r="202" spans="3:55" x14ac:dyDescent="0.2"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181"/>
      <c r="AY202" s="181"/>
      <c r="AZ202" s="181"/>
      <c r="BA202" s="181"/>
      <c r="BB202" s="181"/>
      <c r="BC202" s="181"/>
    </row>
    <row r="203" spans="3:55" x14ac:dyDescent="0.2"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181"/>
      <c r="AY203" s="181"/>
      <c r="AZ203" s="181"/>
      <c r="BA203" s="181"/>
      <c r="BB203" s="181"/>
      <c r="BC203" s="181"/>
    </row>
    <row r="204" spans="3:55" x14ac:dyDescent="0.2"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181"/>
      <c r="AY204" s="181"/>
      <c r="AZ204" s="181"/>
      <c r="BA204" s="181"/>
      <c r="BB204" s="181"/>
      <c r="BC204" s="181"/>
    </row>
    <row r="205" spans="3:55" x14ac:dyDescent="0.2"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181"/>
      <c r="AY205" s="181"/>
      <c r="AZ205" s="181"/>
      <c r="BA205" s="181"/>
      <c r="BB205" s="181"/>
      <c r="BC205" s="181"/>
    </row>
    <row r="206" spans="3:55" x14ac:dyDescent="0.2"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181"/>
      <c r="AY206" s="181"/>
      <c r="AZ206" s="181"/>
      <c r="BA206" s="181"/>
      <c r="BB206" s="181"/>
      <c r="BC206" s="181"/>
    </row>
    <row r="207" spans="3:55" x14ac:dyDescent="0.2"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181"/>
      <c r="AY207" s="181"/>
      <c r="AZ207" s="181"/>
      <c r="BA207" s="181"/>
      <c r="BB207" s="181"/>
      <c r="BC207" s="181"/>
    </row>
    <row r="208" spans="3:55" x14ac:dyDescent="0.2"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181"/>
      <c r="AY208" s="181"/>
      <c r="AZ208" s="181"/>
      <c r="BA208" s="181"/>
      <c r="BB208" s="181"/>
      <c r="BC208" s="181"/>
    </row>
    <row r="209" spans="23:55" x14ac:dyDescent="0.2"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181"/>
      <c r="AY209" s="181"/>
      <c r="AZ209" s="181"/>
      <c r="BA209" s="181"/>
      <c r="BB209" s="181"/>
      <c r="BC209" s="181"/>
    </row>
    <row r="210" spans="23:55" x14ac:dyDescent="0.2"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181"/>
      <c r="AY210" s="181"/>
      <c r="AZ210" s="181"/>
      <c r="BA210" s="181"/>
      <c r="BB210" s="181"/>
      <c r="BC210" s="181"/>
    </row>
    <row r="211" spans="23:55" x14ac:dyDescent="0.2"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181"/>
      <c r="AY211" s="181"/>
      <c r="AZ211" s="181"/>
      <c r="BA211" s="181"/>
      <c r="BB211" s="181"/>
      <c r="BC211" s="181"/>
    </row>
    <row r="212" spans="23:55" x14ac:dyDescent="0.2"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181"/>
      <c r="AY212" s="181"/>
      <c r="AZ212" s="181"/>
      <c r="BA212" s="181"/>
      <c r="BB212" s="181"/>
      <c r="BC212" s="181"/>
    </row>
    <row r="213" spans="23:55" x14ac:dyDescent="0.2"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181"/>
      <c r="AY213" s="181"/>
      <c r="AZ213" s="181"/>
      <c r="BA213" s="181"/>
      <c r="BB213" s="181"/>
      <c r="BC213" s="181"/>
    </row>
    <row r="214" spans="23:55" x14ac:dyDescent="0.2"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181"/>
      <c r="AY214" s="181"/>
      <c r="AZ214" s="181"/>
      <c r="BA214" s="181"/>
      <c r="BB214" s="181"/>
      <c r="BC214" s="181"/>
    </row>
    <row r="215" spans="23:55" x14ac:dyDescent="0.2"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181"/>
      <c r="AY215" s="181"/>
      <c r="AZ215" s="181"/>
      <c r="BA215" s="181"/>
      <c r="BB215" s="181"/>
      <c r="BC215" s="181"/>
    </row>
    <row r="216" spans="23:55" x14ac:dyDescent="0.2"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181"/>
      <c r="AY216" s="181"/>
      <c r="AZ216" s="181"/>
      <c r="BA216" s="181"/>
      <c r="BB216" s="181"/>
      <c r="BC216" s="181"/>
    </row>
    <row r="217" spans="23:55" x14ac:dyDescent="0.2"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181"/>
      <c r="AY217" s="181"/>
      <c r="AZ217" s="181"/>
      <c r="BA217" s="181"/>
      <c r="BB217" s="181"/>
      <c r="BC217" s="181"/>
    </row>
    <row r="218" spans="23:55" x14ac:dyDescent="0.2"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181"/>
      <c r="AY218" s="181"/>
      <c r="AZ218" s="181"/>
      <c r="BA218" s="181"/>
      <c r="BB218" s="181"/>
      <c r="BC218" s="181"/>
    </row>
    <row r="219" spans="23:55" x14ac:dyDescent="0.2"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181"/>
      <c r="AY219" s="181"/>
      <c r="AZ219" s="181"/>
      <c r="BA219" s="181"/>
      <c r="BB219" s="181"/>
      <c r="BC219" s="181"/>
    </row>
    <row r="220" spans="23:55" x14ac:dyDescent="0.2"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181"/>
      <c r="AY220" s="181"/>
      <c r="AZ220" s="181"/>
      <c r="BA220" s="181"/>
      <c r="BB220" s="181"/>
      <c r="BC220" s="181"/>
    </row>
    <row r="221" spans="23:55" x14ac:dyDescent="0.2"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181"/>
      <c r="AY221" s="181"/>
      <c r="AZ221" s="181"/>
      <c r="BA221" s="181"/>
      <c r="BB221" s="181"/>
      <c r="BC221" s="181"/>
    </row>
    <row r="222" spans="23:55" x14ac:dyDescent="0.2"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181"/>
      <c r="AY222" s="181"/>
      <c r="AZ222" s="181"/>
      <c r="BA222" s="181"/>
      <c r="BB222" s="181"/>
      <c r="BC222" s="181"/>
    </row>
    <row r="223" spans="23:55" x14ac:dyDescent="0.2"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181"/>
      <c r="AY223" s="181"/>
      <c r="AZ223" s="181"/>
      <c r="BA223" s="181"/>
      <c r="BB223" s="181"/>
      <c r="BC223" s="181"/>
    </row>
    <row r="224" spans="23:55" x14ac:dyDescent="0.2"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181"/>
      <c r="AY224" s="181"/>
      <c r="AZ224" s="181"/>
      <c r="BA224" s="181"/>
      <c r="BB224" s="181"/>
      <c r="BC224" s="181"/>
    </row>
    <row r="225" spans="23:55" x14ac:dyDescent="0.2"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181"/>
      <c r="AY225" s="181"/>
      <c r="AZ225" s="181"/>
      <c r="BA225" s="181"/>
      <c r="BB225" s="181"/>
      <c r="BC225" s="181"/>
    </row>
    <row r="226" spans="23:55" x14ac:dyDescent="0.2"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181"/>
      <c r="AY226" s="181"/>
      <c r="AZ226" s="181"/>
      <c r="BA226" s="181"/>
      <c r="BB226" s="181"/>
      <c r="BC226" s="181"/>
    </row>
    <row r="227" spans="23:55" x14ac:dyDescent="0.2"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181"/>
      <c r="AY227" s="181"/>
      <c r="AZ227" s="181"/>
      <c r="BA227" s="181"/>
      <c r="BB227" s="181"/>
      <c r="BC227" s="181"/>
    </row>
    <row r="228" spans="23:55" x14ac:dyDescent="0.2"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181"/>
      <c r="AY228" s="181"/>
      <c r="AZ228" s="181"/>
      <c r="BA228" s="181"/>
      <c r="BB228" s="181"/>
      <c r="BC228" s="181"/>
    </row>
    <row r="229" spans="23:55" x14ac:dyDescent="0.2"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181"/>
      <c r="AY229" s="181"/>
      <c r="AZ229" s="181"/>
      <c r="BA229" s="181"/>
      <c r="BB229" s="181"/>
      <c r="BC229" s="181"/>
    </row>
    <row r="230" spans="23:55" x14ac:dyDescent="0.2"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181"/>
      <c r="AY230" s="181"/>
      <c r="AZ230" s="181"/>
      <c r="BA230" s="181"/>
      <c r="BB230" s="181"/>
      <c r="BC230" s="181"/>
    </row>
    <row r="231" spans="23:55" x14ac:dyDescent="0.2"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181"/>
      <c r="AY231" s="181"/>
      <c r="AZ231" s="181"/>
      <c r="BA231" s="181"/>
      <c r="BB231" s="181"/>
      <c r="BC231" s="181"/>
    </row>
    <row r="232" spans="23:55" x14ac:dyDescent="0.2"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181"/>
      <c r="AY232" s="181"/>
      <c r="AZ232" s="181"/>
      <c r="BA232" s="181"/>
      <c r="BB232" s="181"/>
      <c r="BC232" s="181"/>
    </row>
    <row r="233" spans="23:55" x14ac:dyDescent="0.2"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181"/>
      <c r="AY233" s="181"/>
      <c r="AZ233" s="181"/>
      <c r="BA233" s="181"/>
      <c r="BB233" s="181"/>
      <c r="BC233" s="181"/>
    </row>
    <row r="234" spans="23:55" x14ac:dyDescent="0.2"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181"/>
      <c r="AY234" s="181"/>
      <c r="AZ234" s="181"/>
      <c r="BA234" s="181"/>
      <c r="BB234" s="181"/>
      <c r="BC234" s="181"/>
    </row>
    <row r="235" spans="23:55" x14ac:dyDescent="0.2"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181"/>
      <c r="AY235" s="181"/>
      <c r="AZ235" s="181"/>
      <c r="BA235" s="181"/>
      <c r="BB235" s="181"/>
      <c r="BC235" s="181"/>
    </row>
    <row r="236" spans="23:55" x14ac:dyDescent="0.2"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181"/>
      <c r="AY236" s="181"/>
      <c r="AZ236" s="181"/>
      <c r="BA236" s="181"/>
      <c r="BB236" s="181"/>
      <c r="BC236" s="181"/>
    </row>
    <row r="237" spans="23:55" x14ac:dyDescent="0.2"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181"/>
      <c r="AY237" s="181"/>
      <c r="AZ237" s="181"/>
      <c r="BA237" s="181"/>
      <c r="BB237" s="181"/>
      <c r="BC237" s="181"/>
    </row>
    <row r="238" spans="23:55" x14ac:dyDescent="0.2"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181"/>
      <c r="AY238" s="181"/>
      <c r="AZ238" s="181"/>
      <c r="BA238" s="181"/>
      <c r="BB238" s="181"/>
      <c r="BC238" s="181"/>
    </row>
    <row r="239" spans="23:55" x14ac:dyDescent="0.2"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181"/>
      <c r="AY239" s="181"/>
      <c r="AZ239" s="181"/>
      <c r="BA239" s="181"/>
      <c r="BB239" s="181"/>
      <c r="BC239" s="181"/>
    </row>
    <row r="240" spans="23:55" x14ac:dyDescent="0.2"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181"/>
      <c r="AY240" s="181"/>
      <c r="AZ240" s="181"/>
      <c r="BA240" s="181"/>
      <c r="BB240" s="181"/>
      <c r="BC240" s="181"/>
    </row>
    <row r="241" spans="23:55" x14ac:dyDescent="0.2"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181"/>
      <c r="AY241" s="181"/>
      <c r="AZ241" s="181"/>
      <c r="BA241" s="181"/>
      <c r="BB241" s="181"/>
      <c r="BC241" s="181"/>
    </row>
    <row r="242" spans="23:55" x14ac:dyDescent="0.2">
      <c r="AX242" s="181"/>
      <c r="AY242" s="181"/>
      <c r="AZ242" s="181"/>
      <c r="BA242" s="181"/>
      <c r="BB242" s="181"/>
      <c r="BC242" s="181"/>
    </row>
    <row r="243" spans="23:55" x14ac:dyDescent="0.2">
      <c r="AX243" s="181"/>
      <c r="AY243" s="181"/>
      <c r="AZ243" s="181"/>
      <c r="BA243" s="181"/>
      <c r="BB243" s="181"/>
      <c r="BC243" s="181"/>
    </row>
    <row r="244" spans="23:55" x14ac:dyDescent="0.2">
      <c r="AX244" s="181"/>
      <c r="AY244" s="181"/>
      <c r="AZ244" s="181"/>
      <c r="BA244" s="181"/>
      <c r="BB244" s="181"/>
      <c r="BC244" s="181"/>
    </row>
    <row r="245" spans="23:55" x14ac:dyDescent="0.2">
      <c r="AX245" s="181"/>
      <c r="AY245" s="181"/>
      <c r="AZ245" s="181"/>
      <c r="BA245" s="181"/>
      <c r="BB245" s="181"/>
      <c r="BC245" s="181"/>
    </row>
    <row r="246" spans="23:55" ht="20.25" customHeight="1" x14ac:dyDescent="0.2">
      <c r="AX246" s="181"/>
      <c r="AY246" s="181"/>
      <c r="AZ246" s="181"/>
      <c r="BA246" s="181"/>
      <c r="BB246" s="181"/>
      <c r="BC246" s="181"/>
    </row>
    <row r="247" spans="23:55" ht="20.25" customHeight="1" x14ac:dyDescent="0.2">
      <c r="AX247" s="181"/>
      <c r="AY247" s="181"/>
      <c r="AZ247" s="181"/>
      <c r="BA247" s="181"/>
      <c r="BB247" s="181"/>
      <c r="BC247" s="181"/>
    </row>
    <row r="248" spans="23:55" x14ac:dyDescent="0.2">
      <c r="AX248" s="181"/>
      <c r="AY248" s="181"/>
      <c r="AZ248" s="181"/>
      <c r="BA248" s="181"/>
      <c r="BB248" s="181"/>
      <c r="BC248" s="181"/>
    </row>
    <row r="249" spans="23:55" ht="15" customHeight="1" x14ac:dyDescent="0.2">
      <c r="AX249" s="181"/>
      <c r="AY249" s="181"/>
      <c r="AZ249" s="181"/>
      <c r="BA249" s="181"/>
      <c r="BB249" s="181"/>
      <c r="BC249" s="181"/>
    </row>
    <row r="250" spans="23:55" ht="15" customHeight="1" x14ac:dyDescent="0.2">
      <c r="AX250" s="181"/>
      <c r="AY250" s="181"/>
      <c r="AZ250" s="181"/>
      <c r="BA250" s="181"/>
      <c r="BB250" s="181"/>
      <c r="BC250" s="181"/>
    </row>
    <row r="251" spans="23:55" ht="15" customHeight="1" x14ac:dyDescent="0.2">
      <c r="AX251" s="181"/>
      <c r="AY251" s="181"/>
      <c r="AZ251" s="181"/>
      <c r="BA251" s="181"/>
      <c r="BB251" s="181"/>
      <c r="BC251" s="181"/>
    </row>
    <row r="252" spans="23:55" ht="15" customHeight="1" x14ac:dyDescent="0.2">
      <c r="AX252" s="181"/>
      <c r="AY252" s="181"/>
      <c r="AZ252" s="181"/>
      <c r="BA252" s="181"/>
      <c r="BB252" s="181"/>
      <c r="BC252" s="181"/>
    </row>
    <row r="253" spans="23:55" ht="15" customHeight="1" x14ac:dyDescent="0.2">
      <c r="AX253" s="181"/>
      <c r="AY253" s="181"/>
      <c r="AZ253" s="181"/>
      <c r="BA253" s="181"/>
      <c r="BB253" s="181"/>
      <c r="BC253" s="181"/>
    </row>
    <row r="254" spans="23:55" ht="15" customHeight="1" x14ac:dyDescent="0.2">
      <c r="AX254" s="181"/>
      <c r="AY254" s="181"/>
      <c r="AZ254" s="181"/>
      <c r="BA254" s="181"/>
      <c r="BB254" s="181"/>
      <c r="BC254" s="181"/>
    </row>
    <row r="255" spans="23:55" ht="15" customHeight="1" x14ac:dyDescent="0.2">
      <c r="AX255" s="181"/>
      <c r="AY255" s="181"/>
      <c r="AZ255" s="181"/>
      <c r="BA255" s="181"/>
      <c r="BB255" s="181"/>
      <c r="BC255" s="181"/>
    </row>
    <row r="256" spans="23:55" ht="15.75" customHeight="1" x14ac:dyDescent="0.2">
      <c r="AX256" s="181"/>
      <c r="AY256" s="181"/>
      <c r="AZ256" s="181"/>
      <c r="BA256" s="181"/>
      <c r="BB256" s="181"/>
      <c r="BC256" s="181"/>
    </row>
    <row r="257" spans="50:55" ht="15" customHeight="1" x14ac:dyDescent="0.2">
      <c r="AX257" s="181"/>
      <c r="AY257" s="181"/>
      <c r="AZ257" s="181"/>
      <c r="BA257" s="181"/>
      <c r="BB257" s="181"/>
      <c r="BC257" s="181"/>
    </row>
    <row r="258" spans="50:55" ht="15" customHeight="1" x14ac:dyDescent="0.2">
      <c r="AX258" s="181"/>
      <c r="AY258" s="181"/>
      <c r="AZ258" s="181"/>
      <c r="BA258" s="181"/>
      <c r="BB258" s="181"/>
      <c r="BC258" s="181"/>
    </row>
    <row r="259" spans="50:55" ht="15.75" customHeight="1" x14ac:dyDescent="0.2">
      <c r="AX259" s="181"/>
      <c r="AY259" s="181"/>
      <c r="AZ259" s="181"/>
      <c r="BA259" s="181"/>
      <c r="BB259" s="181"/>
      <c r="BC259" s="181"/>
    </row>
    <row r="260" spans="50:55" ht="15" customHeight="1" x14ac:dyDescent="0.2">
      <c r="AX260" s="181"/>
      <c r="AY260" s="181"/>
      <c r="AZ260" s="181"/>
      <c r="BA260" s="181"/>
      <c r="BB260" s="181"/>
      <c r="BC260" s="181"/>
    </row>
    <row r="261" spans="50:55" ht="15" customHeight="1" x14ac:dyDescent="0.2">
      <c r="AX261" s="181"/>
      <c r="AY261" s="181"/>
      <c r="AZ261" s="181"/>
      <c r="BA261" s="181"/>
      <c r="BB261" s="181"/>
      <c r="BC261" s="181"/>
    </row>
    <row r="262" spans="50:55" x14ac:dyDescent="0.2">
      <c r="AX262" s="181"/>
      <c r="AY262" s="181"/>
      <c r="AZ262" s="181"/>
      <c r="BA262" s="181"/>
      <c r="BB262" s="181"/>
      <c r="BC262" s="181"/>
    </row>
    <row r="263" spans="50:55" x14ac:dyDescent="0.2">
      <c r="AX263" s="181"/>
      <c r="AY263" s="181"/>
      <c r="AZ263" s="181"/>
      <c r="BA263" s="181"/>
      <c r="BB263" s="181"/>
      <c r="BC263" s="181"/>
    </row>
    <row r="264" spans="50:55" x14ac:dyDescent="0.2">
      <c r="AX264" s="181"/>
      <c r="AY264" s="181"/>
      <c r="AZ264" s="181"/>
      <c r="BA264" s="181"/>
      <c r="BB264" s="181"/>
      <c r="BC264" s="181"/>
    </row>
    <row r="265" spans="50:55" x14ac:dyDescent="0.2">
      <c r="AX265" s="181"/>
      <c r="AY265" s="181"/>
      <c r="AZ265" s="181"/>
      <c r="BA265" s="181"/>
      <c r="BB265" s="181"/>
      <c r="BC265" s="181"/>
    </row>
    <row r="266" spans="50:55" x14ac:dyDescent="0.2">
      <c r="AX266" s="181"/>
      <c r="AY266" s="181"/>
      <c r="AZ266" s="181"/>
      <c r="BA266" s="181"/>
      <c r="BB266" s="181"/>
      <c r="BC266" s="181"/>
    </row>
    <row r="267" spans="50:55" x14ac:dyDescent="0.2">
      <c r="AX267" s="181"/>
      <c r="AY267" s="181"/>
      <c r="AZ267" s="181"/>
      <c r="BA267" s="181"/>
      <c r="BB267" s="181"/>
      <c r="BC267" s="181"/>
    </row>
    <row r="268" spans="50:55" x14ac:dyDescent="0.2">
      <c r="AX268" s="181"/>
      <c r="AY268" s="181"/>
      <c r="AZ268" s="181"/>
      <c r="BA268" s="181"/>
      <c r="BB268" s="181"/>
      <c r="BC268" s="181"/>
    </row>
    <row r="269" spans="50:55" x14ac:dyDescent="0.2">
      <c r="AX269" s="181"/>
      <c r="AY269" s="181"/>
      <c r="AZ269" s="181"/>
      <c r="BA269" s="181"/>
      <c r="BB269" s="181"/>
      <c r="BC269" s="181"/>
    </row>
    <row r="270" spans="50:55" x14ac:dyDescent="0.2">
      <c r="AX270" s="181"/>
      <c r="AY270" s="181"/>
      <c r="AZ270" s="181"/>
      <c r="BA270" s="181"/>
      <c r="BB270" s="181"/>
      <c r="BC270" s="181"/>
    </row>
    <row r="271" spans="50:55" x14ac:dyDescent="0.2">
      <c r="AX271" s="181"/>
      <c r="AY271" s="181"/>
      <c r="AZ271" s="181"/>
      <c r="BA271" s="181"/>
      <c r="BB271" s="181"/>
      <c r="BC271" s="181"/>
    </row>
    <row r="272" spans="50:55" x14ac:dyDescent="0.2">
      <c r="AX272" s="181"/>
      <c r="AY272" s="181"/>
      <c r="AZ272" s="181"/>
      <c r="BA272" s="181"/>
      <c r="BB272" s="181"/>
      <c r="BC272" s="181"/>
    </row>
    <row r="273" spans="50:55" x14ac:dyDescent="0.2">
      <c r="AX273" s="181"/>
      <c r="AY273" s="181"/>
      <c r="AZ273" s="181"/>
      <c r="BA273" s="181"/>
      <c r="BB273" s="181"/>
      <c r="BC273" s="181"/>
    </row>
    <row r="274" spans="50:55" x14ac:dyDescent="0.2">
      <c r="AX274" s="181"/>
      <c r="AY274" s="181"/>
      <c r="AZ274" s="181"/>
      <c r="BA274" s="181"/>
      <c r="BB274" s="181"/>
      <c r="BC274" s="181"/>
    </row>
    <row r="275" spans="50:55" x14ac:dyDescent="0.2">
      <c r="AX275" s="181"/>
      <c r="AY275" s="181"/>
      <c r="AZ275" s="181"/>
      <c r="BA275" s="181"/>
      <c r="BB275" s="181"/>
      <c r="BC275" s="181"/>
    </row>
    <row r="276" spans="50:55" x14ac:dyDescent="0.2">
      <c r="AX276" s="181"/>
      <c r="AY276" s="181"/>
      <c r="AZ276" s="181"/>
      <c r="BA276" s="181"/>
      <c r="BB276" s="181"/>
      <c r="BC276" s="181"/>
    </row>
    <row r="277" spans="50:55" x14ac:dyDescent="0.2">
      <c r="AX277" s="181"/>
      <c r="AY277" s="181"/>
      <c r="AZ277" s="181"/>
      <c r="BA277" s="181"/>
      <c r="BB277" s="181"/>
      <c r="BC277" s="181"/>
    </row>
    <row r="278" spans="50:55" x14ac:dyDescent="0.2">
      <c r="AX278" s="181"/>
      <c r="AY278" s="181"/>
      <c r="AZ278" s="181"/>
      <c r="BA278" s="181"/>
      <c r="BB278" s="181"/>
      <c r="BC278" s="181"/>
    </row>
    <row r="279" spans="50:55" x14ac:dyDescent="0.2">
      <c r="AX279" s="181"/>
      <c r="AY279" s="181"/>
      <c r="AZ279" s="181"/>
      <c r="BA279" s="181"/>
      <c r="BB279" s="181"/>
      <c r="BC279" s="181"/>
    </row>
    <row r="280" spans="50:55" x14ac:dyDescent="0.2">
      <c r="AX280" s="181"/>
      <c r="AY280" s="181"/>
      <c r="AZ280" s="181"/>
      <c r="BA280" s="181"/>
      <c r="BB280" s="181"/>
      <c r="BC280" s="181"/>
    </row>
    <row r="281" spans="50:55" x14ac:dyDescent="0.2">
      <c r="AX281" s="181"/>
      <c r="AY281" s="181"/>
      <c r="AZ281" s="181"/>
      <c r="BA281" s="181"/>
      <c r="BB281" s="181"/>
      <c r="BC281" s="181"/>
    </row>
    <row r="282" spans="50:55" x14ac:dyDescent="0.2">
      <c r="AX282" s="181"/>
      <c r="AY282" s="181"/>
      <c r="AZ282" s="181"/>
      <c r="BA282" s="181"/>
      <c r="BB282" s="181"/>
      <c r="BC282" s="181"/>
    </row>
    <row r="283" spans="50:55" x14ac:dyDescent="0.2">
      <c r="AX283" s="181"/>
      <c r="AY283" s="181"/>
      <c r="AZ283" s="181"/>
      <c r="BA283" s="181"/>
      <c r="BB283" s="181"/>
      <c r="BC283" s="181"/>
    </row>
    <row r="284" spans="50:55" x14ac:dyDescent="0.2">
      <c r="AX284" s="181"/>
      <c r="AY284" s="181"/>
      <c r="AZ284" s="181"/>
      <c r="BA284" s="181"/>
      <c r="BB284" s="181"/>
      <c r="BC284" s="181"/>
    </row>
    <row r="285" spans="50:55" x14ac:dyDescent="0.2">
      <c r="AX285" s="181"/>
      <c r="AY285" s="181"/>
      <c r="AZ285" s="181"/>
      <c r="BA285" s="181"/>
      <c r="BB285" s="181"/>
      <c r="BC285" s="181"/>
    </row>
    <row r="286" spans="50:55" x14ac:dyDescent="0.2">
      <c r="AX286" s="181"/>
      <c r="AY286" s="181"/>
      <c r="AZ286" s="181"/>
      <c r="BA286" s="181"/>
      <c r="BB286" s="181"/>
      <c r="BC286" s="181"/>
    </row>
    <row r="287" spans="50:55" x14ac:dyDescent="0.2">
      <c r="AX287" s="181"/>
      <c r="AY287" s="181"/>
      <c r="AZ287" s="181"/>
      <c r="BA287" s="181"/>
      <c r="BB287" s="181"/>
      <c r="BC287" s="181"/>
    </row>
    <row r="288" spans="50:55" x14ac:dyDescent="0.2">
      <c r="AX288" s="181"/>
      <c r="AY288" s="181"/>
      <c r="AZ288" s="181"/>
      <c r="BA288" s="181"/>
      <c r="BB288" s="181"/>
      <c r="BC288" s="181"/>
    </row>
    <row r="289" spans="50:55" x14ac:dyDescent="0.2">
      <c r="AX289" s="181"/>
      <c r="AY289" s="181"/>
      <c r="AZ289" s="181"/>
      <c r="BA289" s="181"/>
      <c r="BB289" s="181"/>
      <c r="BC289" s="181"/>
    </row>
    <row r="290" spans="50:55" x14ac:dyDescent="0.2">
      <c r="AX290" s="181"/>
      <c r="AY290" s="181"/>
      <c r="AZ290" s="181"/>
      <c r="BA290" s="181"/>
      <c r="BB290" s="181"/>
      <c r="BC290" s="181"/>
    </row>
    <row r="291" spans="50:55" x14ac:dyDescent="0.2">
      <c r="AX291" s="181"/>
      <c r="AY291" s="181"/>
      <c r="AZ291" s="181"/>
      <c r="BA291" s="181"/>
      <c r="BB291" s="181"/>
      <c r="BC291" s="181"/>
    </row>
    <row r="292" spans="50:55" x14ac:dyDescent="0.2">
      <c r="AX292" s="181"/>
      <c r="AY292" s="181"/>
      <c r="AZ292" s="181"/>
      <c r="BA292" s="181"/>
      <c r="BB292" s="181"/>
      <c r="BC292" s="181"/>
    </row>
    <row r="293" spans="50:55" x14ac:dyDescent="0.2">
      <c r="AX293" s="181"/>
      <c r="AY293" s="181"/>
      <c r="AZ293" s="181"/>
      <c r="BA293" s="181"/>
      <c r="BB293" s="181"/>
      <c r="BC293" s="181"/>
    </row>
    <row r="294" spans="50:55" x14ac:dyDescent="0.2">
      <c r="AX294" s="181"/>
      <c r="AY294" s="181"/>
      <c r="AZ294" s="181"/>
      <c r="BA294" s="181"/>
      <c r="BB294" s="181"/>
      <c r="BC294" s="181"/>
    </row>
    <row r="295" spans="50:55" x14ac:dyDescent="0.2">
      <c r="AX295" s="181"/>
      <c r="AY295" s="181"/>
      <c r="AZ295" s="181"/>
      <c r="BA295" s="181"/>
      <c r="BB295" s="181"/>
      <c r="BC295" s="181"/>
    </row>
    <row r="296" spans="50:55" x14ac:dyDescent="0.2">
      <c r="AX296" s="181"/>
      <c r="AY296" s="181"/>
      <c r="AZ296" s="181"/>
      <c r="BA296" s="181"/>
      <c r="BB296" s="181"/>
      <c r="BC296" s="181"/>
    </row>
    <row r="297" spans="50:55" x14ac:dyDescent="0.2">
      <c r="AX297" s="181"/>
      <c r="AY297" s="181"/>
      <c r="AZ297" s="181"/>
      <c r="BA297" s="181"/>
      <c r="BB297" s="181"/>
      <c r="BC297" s="181"/>
    </row>
    <row r="298" spans="50:55" x14ac:dyDescent="0.2">
      <c r="AX298" s="181"/>
      <c r="AY298" s="181"/>
      <c r="AZ298" s="181"/>
      <c r="BA298" s="181"/>
      <c r="BB298" s="181"/>
      <c r="BC298" s="181"/>
    </row>
    <row r="299" spans="50:55" x14ac:dyDescent="0.2">
      <c r="AX299" s="181"/>
      <c r="AY299" s="181"/>
      <c r="AZ299" s="181"/>
      <c r="BA299" s="181"/>
      <c r="BB299" s="181"/>
      <c r="BC299" s="181"/>
    </row>
    <row r="300" spans="50:55" x14ac:dyDescent="0.2">
      <c r="AX300" s="181"/>
      <c r="AY300" s="181"/>
      <c r="AZ300" s="181"/>
      <c r="BA300" s="181"/>
      <c r="BB300" s="181"/>
      <c r="BC300" s="181"/>
    </row>
    <row r="301" spans="50:55" x14ac:dyDescent="0.2">
      <c r="AX301" s="181"/>
      <c r="AY301" s="181"/>
      <c r="AZ301" s="181"/>
      <c r="BA301" s="181"/>
      <c r="BB301" s="181"/>
      <c r="BC301" s="181"/>
    </row>
    <row r="302" spans="50:55" x14ac:dyDescent="0.2">
      <c r="AX302" s="181"/>
      <c r="AY302" s="181"/>
      <c r="AZ302" s="181"/>
      <c r="BA302" s="181"/>
      <c r="BB302" s="181"/>
      <c r="BC302" s="181"/>
    </row>
    <row r="303" spans="50:55" x14ac:dyDescent="0.2">
      <c r="AX303" s="181"/>
      <c r="AY303" s="181"/>
      <c r="AZ303" s="181"/>
      <c r="BA303" s="181"/>
      <c r="BB303" s="181"/>
      <c r="BC303" s="181"/>
    </row>
    <row r="304" spans="50:55" x14ac:dyDescent="0.2">
      <c r="AX304" s="181"/>
      <c r="AY304" s="181"/>
      <c r="AZ304" s="181"/>
      <c r="BA304" s="181"/>
      <c r="BB304" s="181"/>
      <c r="BC304" s="181"/>
    </row>
    <row r="305" spans="50:55" x14ac:dyDescent="0.2">
      <c r="AX305" s="181"/>
      <c r="AY305" s="181"/>
      <c r="AZ305" s="181"/>
      <c r="BA305" s="181"/>
      <c r="BB305" s="181"/>
      <c r="BC305" s="181"/>
    </row>
    <row r="306" spans="50:55" x14ac:dyDescent="0.2">
      <c r="AX306" s="181"/>
      <c r="AY306" s="181"/>
      <c r="AZ306" s="181"/>
      <c r="BA306" s="181"/>
      <c r="BB306" s="181"/>
      <c r="BC306" s="181"/>
    </row>
    <row r="307" spans="50:55" x14ac:dyDescent="0.2">
      <c r="AX307" s="181"/>
      <c r="AY307" s="181"/>
      <c r="AZ307" s="181"/>
      <c r="BA307" s="181"/>
      <c r="BB307" s="181"/>
      <c r="BC307" s="181"/>
    </row>
    <row r="308" spans="50:55" x14ac:dyDescent="0.2">
      <c r="AX308" s="181"/>
      <c r="AY308" s="181"/>
      <c r="AZ308" s="181"/>
      <c r="BA308" s="181"/>
      <c r="BB308" s="181"/>
      <c r="BC308" s="181"/>
    </row>
    <row r="309" spans="50:55" x14ac:dyDescent="0.2">
      <c r="AX309" s="181"/>
      <c r="AY309" s="181"/>
      <c r="AZ309" s="181"/>
      <c r="BA309" s="181"/>
      <c r="BB309" s="181"/>
      <c r="BC309" s="181"/>
    </row>
    <row r="310" spans="50:55" x14ac:dyDescent="0.2">
      <c r="AX310" s="181"/>
      <c r="AY310" s="181"/>
      <c r="AZ310" s="181"/>
      <c r="BA310" s="181"/>
      <c r="BB310" s="181"/>
      <c r="BC310" s="181"/>
    </row>
    <row r="311" spans="50:55" x14ac:dyDescent="0.2">
      <c r="AX311" s="181"/>
      <c r="AY311" s="181"/>
      <c r="AZ311" s="181"/>
      <c r="BA311" s="181"/>
      <c r="BB311" s="181"/>
      <c r="BC311" s="181"/>
    </row>
    <row r="312" spans="50:55" x14ac:dyDescent="0.2">
      <c r="AX312" s="181"/>
      <c r="AY312" s="181"/>
      <c r="AZ312" s="181"/>
      <c r="BA312" s="181"/>
      <c r="BB312" s="181"/>
      <c r="BC312" s="181"/>
    </row>
    <row r="313" spans="50:55" x14ac:dyDescent="0.2">
      <c r="AX313" s="181"/>
      <c r="AY313" s="181"/>
      <c r="AZ313" s="181"/>
      <c r="BA313" s="181"/>
      <c r="BB313" s="181"/>
      <c r="BC313" s="181"/>
    </row>
    <row r="314" spans="50:55" x14ac:dyDescent="0.2">
      <c r="AX314" s="181"/>
      <c r="AY314" s="181"/>
      <c r="AZ314" s="181"/>
      <c r="BA314" s="181"/>
      <c r="BB314" s="181"/>
      <c r="BC314" s="181"/>
    </row>
    <row r="315" spans="50:55" x14ac:dyDescent="0.2">
      <c r="AX315" s="181"/>
      <c r="AY315" s="181"/>
      <c r="AZ315" s="181"/>
      <c r="BA315" s="181"/>
      <c r="BB315" s="181"/>
      <c r="BC315" s="181"/>
    </row>
    <row r="316" spans="50:55" x14ac:dyDescent="0.2">
      <c r="AX316" s="181"/>
      <c r="AY316" s="181"/>
      <c r="AZ316" s="181"/>
      <c r="BA316" s="181"/>
      <c r="BB316" s="181"/>
      <c r="BC316" s="181"/>
    </row>
    <row r="317" spans="50:55" x14ac:dyDescent="0.2">
      <c r="AX317" s="181"/>
      <c r="AY317" s="181"/>
      <c r="AZ317" s="181"/>
      <c r="BA317" s="181"/>
      <c r="BB317" s="181"/>
      <c r="BC317" s="181"/>
    </row>
    <row r="318" spans="50:55" x14ac:dyDescent="0.2">
      <c r="AX318" s="181"/>
      <c r="AY318" s="181"/>
      <c r="AZ318" s="181"/>
      <c r="BA318" s="181"/>
      <c r="BB318" s="181"/>
      <c r="BC318" s="181"/>
    </row>
    <row r="319" spans="50:55" x14ac:dyDescent="0.2">
      <c r="AX319" s="181"/>
      <c r="AY319" s="181"/>
      <c r="AZ319" s="181"/>
      <c r="BA319" s="181"/>
      <c r="BB319" s="181"/>
      <c r="BC319" s="181"/>
    </row>
    <row r="320" spans="50:55" x14ac:dyDescent="0.2">
      <c r="AX320" s="181"/>
      <c r="AY320" s="181"/>
      <c r="AZ320" s="181"/>
      <c r="BA320" s="181"/>
      <c r="BB320" s="181"/>
      <c r="BC320" s="181"/>
    </row>
    <row r="321" spans="25:55" x14ac:dyDescent="0.2">
      <c r="AX321" s="181"/>
      <c r="AY321" s="181"/>
      <c r="AZ321" s="181"/>
      <c r="BA321" s="181"/>
      <c r="BB321" s="181"/>
      <c r="BC321" s="181"/>
    </row>
    <row r="322" spans="25:55" x14ac:dyDescent="0.2">
      <c r="AX322" s="181"/>
      <c r="AY322" s="181"/>
      <c r="AZ322" s="181"/>
      <c r="BA322" s="181"/>
      <c r="BB322" s="181"/>
      <c r="BC322" s="181"/>
    </row>
    <row r="323" spans="25:55" x14ac:dyDescent="0.2">
      <c r="AX323" s="181"/>
      <c r="AY323" s="181"/>
      <c r="AZ323" s="181"/>
      <c r="BA323" s="181"/>
      <c r="BB323" s="181"/>
      <c r="BC323" s="181"/>
    </row>
    <row r="324" spans="25:55" x14ac:dyDescent="0.2">
      <c r="AX324" s="181"/>
      <c r="AY324" s="181"/>
      <c r="AZ324" s="181"/>
      <c r="BA324" s="181"/>
      <c r="BB324" s="181"/>
      <c r="BC324" s="181"/>
    </row>
    <row r="325" spans="25:55" x14ac:dyDescent="0.2">
      <c r="AX325" s="181"/>
      <c r="AY325" s="181"/>
      <c r="AZ325" s="181"/>
      <c r="BA325" s="181"/>
      <c r="BB325" s="181"/>
      <c r="BC325" s="181"/>
    </row>
    <row r="326" spans="25:55" x14ac:dyDescent="0.2">
      <c r="AX326" s="181"/>
      <c r="AY326" s="181"/>
      <c r="AZ326" s="181"/>
      <c r="BA326" s="181"/>
      <c r="BB326" s="181"/>
      <c r="BC326" s="181"/>
    </row>
    <row r="327" spans="25:55" x14ac:dyDescent="0.2">
      <c r="AX327" s="181"/>
      <c r="AY327" s="181"/>
      <c r="AZ327" s="181"/>
      <c r="BA327" s="181"/>
      <c r="BB327" s="181"/>
      <c r="BC327" s="181"/>
    </row>
    <row r="328" spans="25:55" x14ac:dyDescent="0.2">
      <c r="AX328" s="181"/>
      <c r="AY328" s="181"/>
      <c r="AZ328" s="181"/>
      <c r="BA328" s="181"/>
      <c r="BB328" s="181"/>
      <c r="BC328" s="181"/>
    </row>
    <row r="329" spans="25:55" x14ac:dyDescent="0.2">
      <c r="AX329" s="181"/>
      <c r="AY329" s="181"/>
      <c r="AZ329" s="181"/>
      <c r="BA329" s="181"/>
      <c r="BB329" s="181"/>
      <c r="BC329" s="181"/>
    </row>
    <row r="330" spans="25:55" x14ac:dyDescent="0.2">
      <c r="AX330" s="181"/>
      <c r="AY330" s="181"/>
      <c r="AZ330" s="181"/>
      <c r="BA330" s="181"/>
      <c r="BB330" s="181"/>
      <c r="BC330" s="181"/>
    </row>
    <row r="331" spans="25:55" x14ac:dyDescent="0.2">
      <c r="AX331" s="181"/>
      <c r="AY331" s="181"/>
      <c r="AZ331" s="181"/>
      <c r="BA331" s="181"/>
      <c r="BB331" s="181"/>
      <c r="BC331" s="181"/>
    </row>
    <row r="332" spans="25:55" x14ac:dyDescent="0.2">
      <c r="AX332" s="181"/>
      <c r="AY332" s="181"/>
      <c r="AZ332" s="181"/>
      <c r="BA332" s="181"/>
      <c r="BB332" s="181"/>
      <c r="BC332" s="181"/>
    </row>
    <row r="333" spans="25:55" x14ac:dyDescent="0.2">
      <c r="AX333" s="181"/>
      <c r="AY333" s="181"/>
      <c r="AZ333" s="181"/>
      <c r="BA333" s="181"/>
      <c r="BB333" s="181"/>
      <c r="BC333" s="181"/>
    </row>
    <row r="334" spans="25:55" x14ac:dyDescent="0.2">
      <c r="AX334" s="181"/>
      <c r="AY334" s="181"/>
      <c r="AZ334" s="181"/>
      <c r="BA334" s="181"/>
      <c r="BB334" s="181"/>
      <c r="BC334" s="181"/>
    </row>
    <row r="335" spans="25:55" x14ac:dyDescent="0.2">
      <c r="Y335" s="179" t="b">
        <v>1</v>
      </c>
      <c r="AX335" s="181"/>
      <c r="AY335" s="181"/>
      <c r="AZ335" s="181"/>
      <c r="BA335" s="181"/>
      <c r="BB335" s="181"/>
      <c r="BC335" s="181"/>
    </row>
    <row r="336" spans="25:55" x14ac:dyDescent="0.2">
      <c r="AX336" s="181"/>
      <c r="AY336" s="181"/>
      <c r="AZ336" s="181"/>
      <c r="BA336" s="181"/>
      <c r="BB336" s="181"/>
      <c r="BC336" s="181"/>
    </row>
    <row r="337" spans="50:55" x14ac:dyDescent="0.2">
      <c r="AX337" s="181"/>
      <c r="AY337" s="181"/>
      <c r="AZ337" s="181"/>
      <c r="BA337" s="181"/>
      <c r="BB337" s="181"/>
      <c r="BC337" s="181"/>
    </row>
    <row r="338" spans="50:55" x14ac:dyDescent="0.2">
      <c r="AX338" s="181"/>
      <c r="AY338" s="181"/>
      <c r="AZ338" s="181"/>
      <c r="BA338" s="181"/>
      <c r="BB338" s="181"/>
      <c r="BC338" s="181"/>
    </row>
    <row r="339" spans="50:55" x14ac:dyDescent="0.2">
      <c r="AX339" s="181"/>
      <c r="AY339" s="181"/>
      <c r="AZ339" s="181"/>
      <c r="BA339" s="181"/>
      <c r="BB339" s="181"/>
      <c r="BC339" s="181"/>
    </row>
    <row r="340" spans="50:55" x14ac:dyDescent="0.2">
      <c r="AX340" s="181"/>
      <c r="AY340" s="181"/>
      <c r="AZ340" s="181"/>
      <c r="BA340" s="181"/>
      <c r="BB340" s="181"/>
      <c r="BC340" s="181"/>
    </row>
    <row r="341" spans="50:55" x14ac:dyDescent="0.2">
      <c r="AX341" s="181"/>
      <c r="AY341" s="181"/>
      <c r="AZ341" s="181"/>
      <c r="BA341" s="181"/>
      <c r="BB341" s="181"/>
      <c r="BC341" s="181"/>
    </row>
    <row r="342" spans="50:55" x14ac:dyDescent="0.2">
      <c r="AX342" s="181"/>
      <c r="AY342" s="181"/>
      <c r="AZ342" s="181"/>
      <c r="BA342" s="181"/>
      <c r="BB342" s="181"/>
      <c r="BC342" s="181"/>
    </row>
    <row r="343" spans="50:55" x14ac:dyDescent="0.2">
      <c r="AX343" s="181"/>
      <c r="AY343" s="181"/>
      <c r="AZ343" s="181"/>
      <c r="BA343" s="181"/>
      <c r="BB343" s="181"/>
      <c r="BC343" s="181"/>
    </row>
    <row r="344" spans="50:55" x14ac:dyDescent="0.2">
      <c r="AX344" s="181"/>
      <c r="AY344" s="181"/>
      <c r="AZ344" s="181"/>
      <c r="BA344" s="181"/>
      <c r="BB344" s="181"/>
      <c r="BC344" s="181"/>
    </row>
    <row r="345" spans="50:55" x14ac:dyDescent="0.2">
      <c r="AX345" s="181"/>
      <c r="AY345" s="181"/>
      <c r="AZ345" s="181"/>
      <c r="BA345" s="181"/>
      <c r="BB345" s="181"/>
      <c r="BC345" s="181"/>
    </row>
    <row r="346" spans="50:55" x14ac:dyDescent="0.2">
      <c r="AX346" s="181"/>
      <c r="AY346" s="181"/>
      <c r="AZ346" s="181"/>
      <c r="BA346" s="181"/>
      <c r="BB346" s="181"/>
      <c r="BC346" s="181"/>
    </row>
    <row r="347" spans="50:55" x14ac:dyDescent="0.2">
      <c r="AX347" s="181"/>
      <c r="AY347" s="181"/>
      <c r="AZ347" s="181"/>
      <c r="BA347" s="181"/>
      <c r="BB347" s="181"/>
      <c r="BC347" s="181"/>
    </row>
    <row r="348" spans="50:55" x14ac:dyDescent="0.2">
      <c r="AX348" s="181"/>
      <c r="AY348" s="181"/>
      <c r="AZ348" s="181"/>
      <c r="BA348" s="181"/>
      <c r="BB348" s="181"/>
      <c r="BC348" s="181"/>
    </row>
    <row r="349" spans="50:55" x14ac:dyDescent="0.2">
      <c r="AX349" s="181"/>
      <c r="AY349" s="181"/>
      <c r="AZ349" s="181"/>
      <c r="BA349" s="181"/>
      <c r="BB349" s="181"/>
      <c r="BC349" s="181"/>
    </row>
    <row r="350" spans="50:55" x14ac:dyDescent="0.2">
      <c r="AX350" s="181"/>
      <c r="AY350" s="181"/>
      <c r="AZ350" s="181"/>
      <c r="BA350" s="181"/>
      <c r="BB350" s="181"/>
      <c r="BC350" s="181"/>
    </row>
    <row r="351" spans="50:55" x14ac:dyDescent="0.2">
      <c r="AX351" s="181"/>
      <c r="AY351" s="181"/>
      <c r="AZ351" s="181"/>
      <c r="BA351" s="181"/>
      <c r="BB351" s="181"/>
      <c r="BC351" s="181"/>
    </row>
    <row r="352" spans="50:55" x14ac:dyDescent="0.2">
      <c r="AX352" s="181"/>
      <c r="AY352" s="181"/>
      <c r="AZ352" s="181"/>
      <c r="BA352" s="181"/>
      <c r="BB352" s="181"/>
      <c r="BC352" s="181"/>
    </row>
    <row r="353" spans="50:55" x14ac:dyDescent="0.2">
      <c r="AX353" s="181"/>
      <c r="AY353" s="181"/>
      <c r="AZ353" s="181"/>
      <c r="BA353" s="181"/>
      <c r="BB353" s="181"/>
      <c r="BC353" s="181"/>
    </row>
    <row r="354" spans="50:55" x14ac:dyDescent="0.2">
      <c r="AX354" s="181"/>
      <c r="AY354" s="181"/>
      <c r="AZ354" s="181"/>
      <c r="BA354" s="181"/>
      <c r="BB354" s="181"/>
      <c r="BC354" s="181"/>
    </row>
    <row r="355" spans="50:55" x14ac:dyDescent="0.2">
      <c r="AX355" s="181"/>
      <c r="AY355" s="181"/>
      <c r="AZ355" s="181"/>
      <c r="BA355" s="181"/>
      <c r="BB355" s="181"/>
      <c r="BC355" s="181"/>
    </row>
    <row r="356" spans="50:55" x14ac:dyDescent="0.2">
      <c r="AX356" s="181"/>
      <c r="AY356" s="181"/>
      <c r="AZ356" s="181"/>
      <c r="BA356" s="181"/>
      <c r="BB356" s="181"/>
      <c r="BC356" s="181"/>
    </row>
    <row r="357" spans="50:55" x14ac:dyDescent="0.2">
      <c r="AX357" s="181"/>
      <c r="AY357" s="181"/>
      <c r="AZ357" s="181"/>
      <c r="BA357" s="181"/>
      <c r="BB357" s="181"/>
      <c r="BC357" s="181"/>
    </row>
    <row r="358" spans="50:55" x14ac:dyDescent="0.2">
      <c r="AX358" s="181"/>
      <c r="AY358" s="181"/>
      <c r="AZ358" s="181"/>
      <c r="BA358" s="181"/>
      <c r="BB358" s="181"/>
      <c r="BC358" s="181"/>
    </row>
    <row r="359" spans="50:55" x14ac:dyDescent="0.2">
      <c r="AX359" s="181"/>
      <c r="AY359" s="181"/>
      <c r="AZ359" s="181"/>
      <c r="BA359" s="181"/>
      <c r="BB359" s="181"/>
      <c r="BC359" s="181"/>
    </row>
    <row r="360" spans="50:55" x14ac:dyDescent="0.2">
      <c r="AX360" s="181"/>
      <c r="AY360" s="181"/>
      <c r="AZ360" s="181"/>
      <c r="BA360" s="181"/>
      <c r="BB360" s="181"/>
      <c r="BC360" s="181"/>
    </row>
    <row r="361" spans="50:55" x14ac:dyDescent="0.2">
      <c r="AX361" s="181"/>
      <c r="AY361" s="181"/>
      <c r="AZ361" s="181"/>
      <c r="BA361" s="181"/>
      <c r="BB361" s="181"/>
      <c r="BC361" s="181"/>
    </row>
    <row r="362" spans="50:55" x14ac:dyDescent="0.2">
      <c r="AX362" s="181"/>
      <c r="AY362" s="181"/>
      <c r="AZ362" s="181"/>
      <c r="BA362" s="181"/>
      <c r="BB362" s="181"/>
      <c r="BC362" s="181"/>
    </row>
    <row r="363" spans="50:55" x14ac:dyDescent="0.2">
      <c r="AX363" s="181"/>
      <c r="AY363" s="181"/>
      <c r="AZ363" s="181"/>
      <c r="BA363" s="181"/>
      <c r="BB363" s="181"/>
      <c r="BC363" s="181"/>
    </row>
    <row r="364" spans="50:55" x14ac:dyDescent="0.2">
      <c r="AX364" s="181"/>
      <c r="AY364" s="181"/>
      <c r="AZ364" s="181"/>
      <c r="BA364" s="181"/>
      <c r="BB364" s="181"/>
      <c r="BC364" s="181"/>
    </row>
    <row r="365" spans="50:55" x14ac:dyDescent="0.2">
      <c r="AX365" s="181"/>
      <c r="AY365" s="181"/>
      <c r="AZ365" s="181"/>
      <c r="BA365" s="181"/>
      <c r="BB365" s="181"/>
      <c r="BC365" s="181"/>
    </row>
    <row r="366" spans="50:55" x14ac:dyDescent="0.2">
      <c r="AX366" s="181"/>
      <c r="AY366" s="181"/>
      <c r="AZ366" s="181"/>
      <c r="BA366" s="181"/>
      <c r="BB366" s="181"/>
      <c r="BC366" s="181"/>
    </row>
    <row r="367" spans="50:55" x14ac:dyDescent="0.2">
      <c r="AX367" s="181"/>
      <c r="AY367" s="181"/>
      <c r="AZ367" s="181"/>
      <c r="BA367" s="181"/>
      <c r="BB367" s="181"/>
      <c r="BC367" s="181"/>
    </row>
    <row r="368" spans="50:55" x14ac:dyDescent="0.2">
      <c r="AX368" s="181"/>
      <c r="AY368" s="181"/>
      <c r="AZ368" s="181"/>
      <c r="BA368" s="181"/>
      <c r="BB368" s="181"/>
      <c r="BC368" s="181"/>
    </row>
    <row r="369" spans="50:55" x14ac:dyDescent="0.2">
      <c r="AX369" s="181"/>
      <c r="AY369" s="181"/>
      <c r="AZ369" s="181"/>
      <c r="BA369" s="181"/>
      <c r="BB369" s="181"/>
      <c r="BC369" s="181"/>
    </row>
    <row r="370" spans="50:55" x14ac:dyDescent="0.2">
      <c r="AX370" s="181"/>
      <c r="AY370" s="181"/>
      <c r="AZ370" s="181"/>
      <c r="BA370" s="181"/>
      <c r="BB370" s="181"/>
      <c r="BC370" s="181"/>
    </row>
    <row r="371" spans="50:55" x14ac:dyDescent="0.2">
      <c r="AX371" s="181"/>
      <c r="AY371" s="181"/>
      <c r="AZ371" s="181"/>
      <c r="BA371" s="181"/>
      <c r="BB371" s="181"/>
      <c r="BC371" s="181"/>
    </row>
    <row r="372" spans="50:55" x14ac:dyDescent="0.2">
      <c r="AX372" s="181"/>
      <c r="AY372" s="181"/>
      <c r="AZ372" s="181"/>
      <c r="BA372" s="181"/>
      <c r="BB372" s="181"/>
      <c r="BC372" s="181"/>
    </row>
    <row r="373" spans="50:55" x14ac:dyDescent="0.2">
      <c r="AX373" s="181"/>
      <c r="AY373" s="181"/>
      <c r="AZ373" s="181"/>
      <c r="BA373" s="181"/>
      <c r="BB373" s="181"/>
      <c r="BC373" s="181"/>
    </row>
    <row r="374" spans="50:55" x14ac:dyDescent="0.2">
      <c r="AX374" s="181"/>
      <c r="AY374" s="181"/>
      <c r="AZ374" s="181"/>
      <c r="BA374" s="181"/>
      <c r="BB374" s="181"/>
      <c r="BC374" s="181"/>
    </row>
    <row r="375" spans="50:55" x14ac:dyDescent="0.2">
      <c r="AX375" s="181"/>
      <c r="AY375" s="181"/>
      <c r="AZ375" s="181"/>
      <c r="BA375" s="181"/>
      <c r="BB375" s="181"/>
      <c r="BC375" s="181"/>
    </row>
    <row r="376" spans="50:55" x14ac:dyDescent="0.2">
      <c r="AX376" s="181"/>
      <c r="AY376" s="181"/>
      <c r="AZ376" s="181"/>
      <c r="BA376" s="181"/>
      <c r="BB376" s="181"/>
      <c r="BC376" s="181"/>
    </row>
    <row r="377" spans="50:55" x14ac:dyDescent="0.2">
      <c r="AX377" s="181"/>
      <c r="AY377" s="181"/>
      <c r="AZ377" s="181"/>
      <c r="BA377" s="181"/>
      <c r="BB377" s="181"/>
      <c r="BC377" s="181"/>
    </row>
    <row r="378" spans="50:55" x14ac:dyDescent="0.2">
      <c r="AX378" s="181"/>
      <c r="AY378" s="181"/>
      <c r="AZ378" s="181"/>
      <c r="BA378" s="181"/>
      <c r="BB378" s="181"/>
      <c r="BC378" s="181"/>
    </row>
    <row r="379" spans="50:55" x14ac:dyDescent="0.2">
      <c r="AX379" s="181"/>
      <c r="AY379" s="181"/>
      <c r="AZ379" s="181"/>
      <c r="BA379" s="181"/>
      <c r="BB379" s="181"/>
      <c r="BC379" s="181"/>
    </row>
    <row r="380" spans="50:55" x14ac:dyDescent="0.2">
      <c r="AX380" s="181"/>
      <c r="AY380" s="181"/>
      <c r="AZ380" s="181"/>
      <c r="BA380" s="181"/>
      <c r="BB380" s="181"/>
      <c r="BC380" s="181"/>
    </row>
    <row r="381" spans="50:55" x14ac:dyDescent="0.2">
      <c r="AX381" s="181"/>
      <c r="AY381" s="181"/>
      <c r="AZ381" s="181"/>
      <c r="BA381" s="181"/>
      <c r="BB381" s="181"/>
      <c r="BC381" s="181"/>
    </row>
    <row r="382" spans="50:55" x14ac:dyDescent="0.2">
      <c r="AX382" s="181"/>
      <c r="AY382" s="181"/>
      <c r="AZ382" s="181"/>
      <c r="BA382" s="181"/>
      <c r="BB382" s="181"/>
      <c r="BC382" s="181"/>
    </row>
    <row r="383" spans="50:55" x14ac:dyDescent="0.2">
      <c r="AX383" s="181"/>
      <c r="AY383" s="181"/>
      <c r="AZ383" s="181"/>
      <c r="BA383" s="181"/>
      <c r="BB383" s="181"/>
      <c r="BC383" s="181"/>
    </row>
    <row r="384" spans="50:55" x14ac:dyDescent="0.2">
      <c r="AX384" s="181"/>
      <c r="AY384" s="181"/>
      <c r="AZ384" s="181"/>
      <c r="BA384" s="181"/>
      <c r="BB384" s="181"/>
      <c r="BC384" s="181"/>
    </row>
    <row r="385" spans="50:55" x14ac:dyDescent="0.2">
      <c r="AX385" s="181"/>
      <c r="AY385" s="181"/>
      <c r="AZ385" s="181"/>
      <c r="BA385" s="181"/>
      <c r="BB385" s="181"/>
      <c r="BC385" s="181"/>
    </row>
    <row r="386" spans="50:55" x14ac:dyDescent="0.2">
      <c r="AX386" s="181"/>
      <c r="AY386" s="181"/>
      <c r="AZ386" s="181"/>
      <c r="BA386" s="181"/>
      <c r="BB386" s="181"/>
      <c r="BC386" s="181"/>
    </row>
    <row r="387" spans="50:55" x14ac:dyDescent="0.2">
      <c r="AX387" s="181"/>
      <c r="AY387" s="181"/>
      <c r="AZ387" s="181"/>
      <c r="BA387" s="181"/>
      <c r="BB387" s="181"/>
      <c r="BC387" s="181"/>
    </row>
    <row r="388" spans="50:55" x14ac:dyDescent="0.2">
      <c r="AX388" s="181"/>
      <c r="AY388" s="181"/>
      <c r="AZ388" s="181"/>
      <c r="BA388" s="181"/>
      <c r="BB388" s="181"/>
      <c r="BC388" s="181"/>
    </row>
    <row r="389" spans="50:55" x14ac:dyDescent="0.2">
      <c r="AX389" s="181"/>
      <c r="AY389" s="181"/>
      <c r="AZ389" s="181"/>
      <c r="BA389" s="181"/>
      <c r="BB389" s="181"/>
      <c r="BC389" s="181"/>
    </row>
    <row r="390" spans="50:55" x14ac:dyDescent="0.2">
      <c r="AX390" s="181"/>
      <c r="AY390" s="181"/>
      <c r="AZ390" s="181"/>
      <c r="BA390" s="181"/>
      <c r="BB390" s="181"/>
      <c r="BC390" s="181"/>
    </row>
    <row r="391" spans="50:55" x14ac:dyDescent="0.2">
      <c r="AX391" s="181"/>
      <c r="AY391" s="181"/>
      <c r="AZ391" s="181"/>
      <c r="BA391" s="181"/>
      <c r="BB391" s="181"/>
      <c r="BC391" s="181"/>
    </row>
    <row r="392" spans="50:55" x14ac:dyDescent="0.2">
      <c r="AX392" s="181"/>
      <c r="AY392" s="181"/>
      <c r="AZ392" s="181"/>
      <c r="BA392" s="181"/>
      <c r="BB392" s="181"/>
      <c r="BC392" s="181"/>
    </row>
    <row r="393" spans="50:55" x14ac:dyDescent="0.2">
      <c r="AX393" s="181"/>
      <c r="AY393" s="181"/>
      <c r="AZ393" s="181"/>
      <c r="BA393" s="181"/>
      <c r="BB393" s="181"/>
      <c r="BC393" s="181"/>
    </row>
    <row r="394" spans="50:55" x14ac:dyDescent="0.2">
      <c r="AX394" s="181"/>
      <c r="AY394" s="181"/>
      <c r="AZ394" s="181"/>
      <c r="BA394" s="181"/>
      <c r="BB394" s="181"/>
      <c r="BC394" s="181"/>
    </row>
    <row r="395" spans="50:55" x14ac:dyDescent="0.2">
      <c r="AX395" s="181"/>
      <c r="AY395" s="181"/>
      <c r="AZ395" s="181"/>
      <c r="BA395" s="181"/>
      <c r="BB395" s="181"/>
      <c r="BC395" s="181"/>
    </row>
    <row r="396" spans="50:55" x14ac:dyDescent="0.2">
      <c r="AX396" s="181"/>
      <c r="AY396" s="181"/>
      <c r="AZ396" s="181"/>
      <c r="BA396" s="181"/>
      <c r="BB396" s="181"/>
      <c r="BC396" s="181"/>
    </row>
    <row r="397" spans="50:55" x14ac:dyDescent="0.2">
      <c r="AX397" s="181"/>
      <c r="AY397" s="181"/>
      <c r="AZ397" s="181"/>
      <c r="BA397" s="181"/>
      <c r="BB397" s="181"/>
      <c r="BC397" s="181"/>
    </row>
    <row r="398" spans="50:55" x14ac:dyDescent="0.2">
      <c r="AX398" s="181"/>
      <c r="AY398" s="181"/>
      <c r="AZ398" s="181"/>
      <c r="BA398" s="181"/>
      <c r="BB398" s="181"/>
      <c r="BC398" s="181"/>
    </row>
    <row r="399" spans="50:55" x14ac:dyDescent="0.2">
      <c r="AX399" s="181"/>
      <c r="AY399" s="181"/>
      <c r="AZ399" s="181"/>
      <c r="BA399" s="181"/>
      <c r="BB399" s="181"/>
      <c r="BC399" s="181"/>
    </row>
    <row r="400" spans="50:55" x14ac:dyDescent="0.2">
      <c r="AX400" s="181"/>
      <c r="AY400" s="181"/>
      <c r="AZ400" s="181"/>
      <c r="BA400" s="181"/>
      <c r="BB400" s="181"/>
      <c r="BC400" s="181"/>
    </row>
    <row r="401" spans="50:55" x14ac:dyDescent="0.2">
      <c r="AX401" s="181"/>
      <c r="AY401" s="181"/>
      <c r="AZ401" s="181"/>
      <c r="BA401" s="181"/>
      <c r="BB401" s="181"/>
      <c r="BC401" s="181"/>
    </row>
    <row r="402" spans="50:55" x14ac:dyDescent="0.2">
      <c r="AX402" s="181"/>
      <c r="AY402" s="181"/>
      <c r="AZ402" s="181"/>
      <c r="BA402" s="181"/>
      <c r="BB402" s="181"/>
      <c r="BC402" s="181"/>
    </row>
    <row r="403" spans="50:55" x14ac:dyDescent="0.2">
      <c r="AX403" s="181"/>
      <c r="AY403" s="181"/>
      <c r="AZ403" s="181"/>
      <c r="BA403" s="181"/>
      <c r="BB403" s="181"/>
      <c r="BC403" s="181"/>
    </row>
    <row r="404" spans="50:55" x14ac:dyDescent="0.2">
      <c r="AX404" s="181"/>
      <c r="AY404" s="181"/>
      <c r="AZ404" s="181"/>
      <c r="BA404" s="181"/>
      <c r="BB404" s="181"/>
      <c r="BC404" s="181"/>
    </row>
    <row r="405" spans="50:55" x14ac:dyDescent="0.2">
      <c r="AX405" s="181"/>
      <c r="AY405" s="181"/>
      <c r="AZ405" s="181"/>
      <c r="BA405" s="181"/>
      <c r="BB405" s="181"/>
      <c r="BC405" s="181"/>
    </row>
    <row r="406" spans="50:55" x14ac:dyDescent="0.2">
      <c r="AX406" s="181"/>
      <c r="AY406" s="181"/>
      <c r="AZ406" s="181"/>
      <c r="BA406" s="181"/>
      <c r="BB406" s="181"/>
      <c r="BC406" s="181"/>
    </row>
    <row r="407" spans="50:55" x14ac:dyDescent="0.2">
      <c r="AX407" s="181"/>
      <c r="AY407" s="181"/>
      <c r="AZ407" s="181"/>
      <c r="BA407" s="181"/>
      <c r="BB407" s="181"/>
      <c r="BC407" s="181"/>
    </row>
    <row r="408" spans="50:55" x14ac:dyDescent="0.2">
      <c r="AX408" s="181"/>
      <c r="AY408" s="181"/>
      <c r="AZ408" s="181"/>
      <c r="BA408" s="181"/>
      <c r="BB408" s="181"/>
      <c r="BC408" s="181"/>
    </row>
    <row r="409" spans="50:55" x14ac:dyDescent="0.2">
      <c r="AX409" s="181"/>
      <c r="AY409" s="181"/>
      <c r="AZ409" s="181"/>
      <c r="BA409" s="181"/>
      <c r="BB409" s="181"/>
      <c r="BC409" s="181"/>
    </row>
    <row r="410" spans="50:55" x14ac:dyDescent="0.2">
      <c r="AX410" s="181"/>
      <c r="AY410" s="181"/>
      <c r="AZ410" s="181"/>
      <c r="BA410" s="181"/>
      <c r="BB410" s="181"/>
      <c r="BC410" s="181"/>
    </row>
    <row r="411" spans="50:55" x14ac:dyDescent="0.2">
      <c r="AX411" s="181"/>
      <c r="AY411" s="181"/>
      <c r="AZ411" s="181"/>
      <c r="BA411" s="181"/>
      <c r="BB411" s="181"/>
      <c r="BC411" s="181"/>
    </row>
    <row r="412" spans="50:55" x14ac:dyDescent="0.2">
      <c r="AX412" s="181"/>
      <c r="AY412" s="181"/>
      <c r="AZ412" s="181"/>
      <c r="BA412" s="181"/>
      <c r="BB412" s="181"/>
      <c r="BC412" s="181"/>
    </row>
    <row r="413" spans="50:55" x14ac:dyDescent="0.2">
      <c r="AX413" s="181"/>
      <c r="AY413" s="181"/>
      <c r="AZ413" s="181"/>
      <c r="BA413" s="181"/>
      <c r="BB413" s="181"/>
      <c r="BC413" s="181"/>
    </row>
    <row r="414" spans="50:55" x14ac:dyDescent="0.2">
      <c r="AX414" s="181"/>
      <c r="AY414" s="181"/>
      <c r="AZ414" s="181"/>
      <c r="BA414" s="181"/>
      <c r="BB414" s="181"/>
      <c r="BC414" s="181"/>
    </row>
    <row r="415" spans="50:55" x14ac:dyDescent="0.2">
      <c r="AX415" s="181"/>
      <c r="AY415" s="181"/>
      <c r="AZ415" s="181"/>
      <c r="BA415" s="181"/>
      <c r="BB415" s="181"/>
      <c r="BC415" s="181"/>
    </row>
    <row r="416" spans="50:55" x14ac:dyDescent="0.2">
      <c r="AX416" s="181"/>
      <c r="AY416" s="181"/>
      <c r="AZ416" s="181"/>
      <c r="BA416" s="181"/>
      <c r="BB416" s="181"/>
      <c r="BC416" s="181"/>
    </row>
    <row r="417" spans="50:55" x14ac:dyDescent="0.2">
      <c r="AX417" s="181"/>
      <c r="AY417" s="181"/>
      <c r="AZ417" s="181"/>
      <c r="BA417" s="181"/>
      <c r="BB417" s="181"/>
      <c r="BC417" s="181"/>
    </row>
    <row r="418" spans="50:55" x14ac:dyDescent="0.2">
      <c r="AX418" s="181"/>
      <c r="AY418" s="181"/>
      <c r="AZ418" s="181"/>
      <c r="BA418" s="181"/>
      <c r="BB418" s="181"/>
      <c r="BC418" s="181"/>
    </row>
    <row r="419" spans="50:55" x14ac:dyDescent="0.2">
      <c r="AX419" s="181"/>
      <c r="AY419" s="181"/>
      <c r="AZ419" s="181"/>
      <c r="BA419" s="181"/>
      <c r="BB419" s="181"/>
      <c r="BC419" s="181"/>
    </row>
    <row r="420" spans="50:55" x14ac:dyDescent="0.2">
      <c r="AX420" s="181"/>
      <c r="AY420" s="181"/>
      <c r="AZ420" s="181"/>
      <c r="BA420" s="181"/>
      <c r="BB420" s="181"/>
      <c r="BC420" s="181"/>
    </row>
    <row r="421" spans="50:55" x14ac:dyDescent="0.2">
      <c r="AX421" s="181"/>
      <c r="AY421" s="181"/>
      <c r="AZ421" s="181"/>
      <c r="BA421" s="181"/>
      <c r="BB421" s="181"/>
      <c r="BC421" s="181"/>
    </row>
    <row r="422" spans="50:55" x14ac:dyDescent="0.2">
      <c r="AX422" s="181"/>
      <c r="AY422" s="181"/>
      <c r="AZ422" s="181"/>
      <c r="BA422" s="181"/>
      <c r="BB422" s="181"/>
      <c r="BC422" s="181"/>
    </row>
    <row r="423" spans="50:55" x14ac:dyDescent="0.2">
      <c r="AX423" s="181"/>
      <c r="AY423" s="181"/>
      <c r="AZ423" s="181"/>
      <c r="BA423" s="181"/>
      <c r="BB423" s="181"/>
      <c r="BC423" s="181"/>
    </row>
    <row r="424" spans="50:55" x14ac:dyDescent="0.2">
      <c r="AX424" s="181"/>
      <c r="AY424" s="181"/>
      <c r="AZ424" s="181"/>
      <c r="BA424" s="181"/>
      <c r="BB424" s="181"/>
      <c r="BC424" s="181"/>
    </row>
    <row r="425" spans="50:55" x14ac:dyDescent="0.2">
      <c r="AX425" s="181"/>
      <c r="AY425" s="181"/>
      <c r="AZ425" s="181"/>
      <c r="BA425" s="181"/>
      <c r="BB425" s="181"/>
      <c r="BC425" s="181"/>
    </row>
    <row r="426" spans="50:55" x14ac:dyDescent="0.2">
      <c r="AX426" s="181"/>
      <c r="AY426" s="181"/>
      <c r="AZ426" s="181"/>
      <c r="BA426" s="181"/>
      <c r="BB426" s="181"/>
      <c r="BC426" s="181"/>
    </row>
    <row r="427" spans="50:55" x14ac:dyDescent="0.2">
      <c r="AX427" s="181"/>
      <c r="AY427" s="181"/>
      <c r="AZ427" s="181"/>
      <c r="BA427" s="181"/>
      <c r="BB427" s="181"/>
      <c r="BC427" s="181"/>
    </row>
    <row r="428" spans="50:55" x14ac:dyDescent="0.2">
      <c r="AX428" s="181"/>
      <c r="AY428" s="181"/>
      <c r="AZ428" s="181"/>
      <c r="BA428" s="181"/>
      <c r="BB428" s="181"/>
      <c r="BC428" s="181"/>
    </row>
    <row r="429" spans="50:55" x14ac:dyDescent="0.2">
      <c r="AX429" s="181"/>
      <c r="AY429" s="181"/>
      <c r="AZ429" s="181"/>
      <c r="BA429" s="181"/>
      <c r="BB429" s="181"/>
      <c r="BC429" s="181"/>
    </row>
    <row r="430" spans="50:55" x14ac:dyDescent="0.2">
      <c r="AX430" s="181"/>
      <c r="AY430" s="181"/>
      <c r="AZ430" s="181"/>
      <c r="BA430" s="181"/>
      <c r="BB430" s="181"/>
      <c r="BC430" s="181"/>
    </row>
    <row r="431" spans="50:55" x14ac:dyDescent="0.2">
      <c r="AX431" s="181"/>
      <c r="AY431" s="181"/>
      <c r="AZ431" s="181"/>
      <c r="BA431" s="181"/>
      <c r="BB431" s="181"/>
      <c r="BC431" s="181"/>
    </row>
    <row r="432" spans="50:55" x14ac:dyDescent="0.2">
      <c r="AX432" s="181"/>
      <c r="AY432" s="181"/>
      <c r="AZ432" s="181"/>
      <c r="BA432" s="181"/>
      <c r="BB432" s="181"/>
      <c r="BC432" s="181"/>
    </row>
    <row r="433" spans="50:55" x14ac:dyDescent="0.2">
      <c r="AX433" s="181"/>
      <c r="AY433" s="181"/>
      <c r="AZ433" s="181"/>
      <c r="BA433" s="181"/>
      <c r="BB433" s="181"/>
      <c r="BC433" s="181"/>
    </row>
    <row r="434" spans="50:55" x14ac:dyDescent="0.2">
      <c r="AX434" s="181"/>
      <c r="AY434" s="181"/>
      <c r="AZ434" s="181"/>
      <c r="BA434" s="181"/>
      <c r="BB434" s="181"/>
      <c r="BC434" s="181"/>
    </row>
    <row r="435" spans="50:55" x14ac:dyDescent="0.2">
      <c r="AX435" s="181"/>
      <c r="AY435" s="181"/>
      <c r="AZ435" s="181"/>
      <c r="BA435" s="181"/>
      <c r="BB435" s="181"/>
      <c r="BC435" s="181"/>
    </row>
    <row r="436" spans="50:55" x14ac:dyDescent="0.2">
      <c r="AX436" s="181"/>
      <c r="AY436" s="181"/>
      <c r="AZ436" s="181"/>
      <c r="BA436" s="181"/>
      <c r="BB436" s="181"/>
      <c r="BC436" s="181"/>
    </row>
    <row r="437" spans="50:55" x14ac:dyDescent="0.2">
      <c r="AX437" s="181"/>
      <c r="AY437" s="181"/>
      <c r="AZ437" s="181"/>
      <c r="BA437" s="181"/>
      <c r="BB437" s="181"/>
      <c r="BC437" s="181"/>
    </row>
    <row r="438" spans="50:55" x14ac:dyDescent="0.2">
      <c r="AX438" s="181"/>
      <c r="AY438" s="181"/>
      <c r="AZ438" s="181"/>
      <c r="BA438" s="181"/>
      <c r="BB438" s="181"/>
      <c r="BC438" s="181"/>
    </row>
    <row r="439" spans="50:55" x14ac:dyDescent="0.2">
      <c r="AX439" s="181"/>
      <c r="AY439" s="181"/>
      <c r="AZ439" s="181"/>
      <c r="BA439" s="181"/>
      <c r="BB439" s="181"/>
      <c r="BC439" s="181"/>
    </row>
    <row r="440" spans="50:55" x14ac:dyDescent="0.2">
      <c r="AX440" s="181"/>
      <c r="AY440" s="181"/>
      <c r="AZ440" s="181"/>
      <c r="BA440" s="181"/>
      <c r="BB440" s="181"/>
      <c r="BC440" s="181"/>
    </row>
    <row r="441" spans="50:55" x14ac:dyDescent="0.2">
      <c r="AX441" s="181"/>
      <c r="AY441" s="181"/>
      <c r="AZ441" s="181"/>
      <c r="BA441" s="181"/>
      <c r="BB441" s="181"/>
      <c r="BC441" s="181"/>
    </row>
    <row r="442" spans="50:55" x14ac:dyDescent="0.2">
      <c r="AX442" s="181"/>
      <c r="AY442" s="181"/>
      <c r="AZ442" s="181"/>
      <c r="BA442" s="181"/>
      <c r="BB442" s="181"/>
      <c r="BC442" s="181"/>
    </row>
    <row r="443" spans="50:55" x14ac:dyDescent="0.2">
      <c r="AX443" s="181"/>
      <c r="AY443" s="181"/>
      <c r="AZ443" s="181"/>
      <c r="BA443" s="181"/>
      <c r="BB443" s="181"/>
      <c r="BC443" s="181"/>
    </row>
    <row r="444" spans="50:55" x14ac:dyDescent="0.2">
      <c r="AX444" s="181"/>
      <c r="AY444" s="181"/>
      <c r="AZ444" s="181"/>
      <c r="BA444" s="181"/>
      <c r="BB444" s="181"/>
      <c r="BC444" s="181"/>
    </row>
    <row r="445" spans="50:55" x14ac:dyDescent="0.2">
      <c r="AX445" s="181"/>
      <c r="AY445" s="181"/>
      <c r="AZ445" s="181"/>
      <c r="BA445" s="181"/>
      <c r="BB445" s="181"/>
      <c r="BC445" s="181"/>
    </row>
    <row r="446" spans="50:55" x14ac:dyDescent="0.2">
      <c r="AX446" s="181"/>
      <c r="AY446" s="181"/>
      <c r="AZ446" s="181"/>
      <c r="BA446" s="181"/>
      <c r="BB446" s="181"/>
      <c r="BC446" s="181"/>
    </row>
    <row r="447" spans="50:55" x14ac:dyDescent="0.2">
      <c r="AX447" s="181"/>
      <c r="AY447" s="181"/>
      <c r="AZ447" s="181"/>
      <c r="BA447" s="181"/>
      <c r="BB447" s="181"/>
      <c r="BC447" s="181"/>
    </row>
    <row r="448" spans="50:55" x14ac:dyDescent="0.2">
      <c r="AX448" s="181"/>
      <c r="AY448" s="181"/>
      <c r="AZ448" s="181"/>
      <c r="BA448" s="181"/>
      <c r="BB448" s="181"/>
      <c r="BC448" s="181"/>
    </row>
    <row r="449" spans="50:55" x14ac:dyDescent="0.2">
      <c r="AX449" s="181"/>
      <c r="AY449" s="181"/>
      <c r="AZ449" s="181"/>
      <c r="BA449" s="181"/>
      <c r="BB449" s="181"/>
      <c r="BC449" s="181"/>
    </row>
    <row r="450" spans="50:55" x14ac:dyDescent="0.2">
      <c r="AX450" s="181"/>
      <c r="AY450" s="181"/>
      <c r="AZ450" s="181"/>
      <c r="BA450" s="181"/>
      <c r="BB450" s="181"/>
      <c r="BC450" s="181"/>
    </row>
    <row r="451" spans="50:55" x14ac:dyDescent="0.2">
      <c r="AX451" s="181"/>
      <c r="AY451" s="181"/>
      <c r="AZ451" s="181"/>
      <c r="BA451" s="181"/>
      <c r="BB451" s="181"/>
      <c r="BC451" s="181"/>
    </row>
    <row r="452" spans="50:55" x14ac:dyDescent="0.2">
      <c r="AX452" s="181"/>
      <c r="AY452" s="181"/>
      <c r="AZ452" s="181"/>
      <c r="BA452" s="181"/>
      <c r="BB452" s="181"/>
      <c r="BC452" s="181"/>
    </row>
    <row r="453" spans="50:55" x14ac:dyDescent="0.2">
      <c r="AX453" s="181"/>
      <c r="AY453" s="181"/>
      <c r="AZ453" s="181"/>
      <c r="BA453" s="181"/>
      <c r="BB453" s="181"/>
      <c r="BC453" s="181"/>
    </row>
    <row r="454" spans="50:55" x14ac:dyDescent="0.2">
      <c r="AX454" s="181"/>
      <c r="AY454" s="181"/>
      <c r="AZ454" s="181"/>
      <c r="BA454" s="181"/>
      <c r="BB454" s="181"/>
      <c r="BC454" s="181"/>
    </row>
    <row r="455" spans="50:55" x14ac:dyDescent="0.2">
      <c r="AX455" s="181"/>
      <c r="AY455" s="181"/>
      <c r="AZ455" s="181"/>
      <c r="BA455" s="181"/>
      <c r="BB455" s="181"/>
      <c r="BC455" s="181"/>
    </row>
    <row r="456" spans="50:55" x14ac:dyDescent="0.2">
      <c r="AX456" s="181"/>
      <c r="AY456" s="181"/>
      <c r="AZ456" s="181"/>
      <c r="BA456" s="181"/>
      <c r="BB456" s="181"/>
      <c r="BC456" s="181"/>
    </row>
    <row r="457" spans="50:55" x14ac:dyDescent="0.2">
      <c r="AX457" s="181"/>
      <c r="AY457" s="181"/>
      <c r="AZ457" s="181"/>
      <c r="BA457" s="181"/>
      <c r="BB457" s="181"/>
      <c r="BC457" s="181"/>
    </row>
    <row r="458" spans="50:55" x14ac:dyDescent="0.2">
      <c r="AX458" s="181"/>
      <c r="AY458" s="181"/>
      <c r="AZ458" s="181"/>
      <c r="BA458" s="181"/>
      <c r="BB458" s="181"/>
      <c r="BC458" s="181"/>
    </row>
    <row r="459" spans="50:55" x14ac:dyDescent="0.2">
      <c r="AX459" s="181"/>
      <c r="AY459" s="181"/>
      <c r="AZ459" s="181"/>
      <c r="BA459" s="181"/>
      <c r="BB459" s="181"/>
      <c r="BC459" s="181"/>
    </row>
    <row r="460" spans="50:55" x14ac:dyDescent="0.2">
      <c r="AX460" s="181"/>
      <c r="AY460" s="181"/>
      <c r="AZ460" s="181"/>
      <c r="BA460" s="181"/>
      <c r="BB460" s="181"/>
      <c r="BC460" s="181"/>
    </row>
    <row r="461" spans="50:55" x14ac:dyDescent="0.2">
      <c r="AX461" s="181"/>
      <c r="AY461" s="181"/>
      <c r="AZ461" s="181"/>
      <c r="BA461" s="181"/>
      <c r="BB461" s="181"/>
      <c r="BC461" s="181"/>
    </row>
    <row r="462" spans="50:55" x14ac:dyDescent="0.2">
      <c r="AX462" s="181"/>
      <c r="AY462" s="181"/>
      <c r="AZ462" s="181"/>
      <c r="BA462" s="181"/>
      <c r="BB462" s="181"/>
      <c r="BC462" s="181"/>
    </row>
    <row r="463" spans="50:55" x14ac:dyDescent="0.2">
      <c r="AX463" s="181"/>
      <c r="AY463" s="181"/>
      <c r="AZ463" s="181"/>
      <c r="BA463" s="181"/>
      <c r="BB463" s="181"/>
      <c r="BC463" s="181"/>
    </row>
    <row r="464" spans="50:55" x14ac:dyDescent="0.2">
      <c r="AX464" s="181"/>
      <c r="AY464" s="181"/>
      <c r="AZ464" s="181"/>
      <c r="BA464" s="181"/>
      <c r="BB464" s="181"/>
      <c r="BC464" s="181"/>
    </row>
    <row r="465" spans="50:55" x14ac:dyDescent="0.2">
      <c r="AX465" s="181"/>
      <c r="AY465" s="181"/>
      <c r="AZ465" s="181"/>
      <c r="BA465" s="181"/>
      <c r="BB465" s="181"/>
      <c r="BC465" s="181"/>
    </row>
    <row r="466" spans="50:55" x14ac:dyDescent="0.2">
      <c r="AX466" s="181"/>
      <c r="AY466" s="181"/>
      <c r="AZ466" s="181"/>
      <c r="BA466" s="181"/>
      <c r="BB466" s="181"/>
      <c r="BC466" s="181"/>
    </row>
    <row r="467" spans="50:55" x14ac:dyDescent="0.2">
      <c r="AX467" s="181"/>
      <c r="AY467" s="181"/>
      <c r="AZ467" s="181"/>
      <c r="BA467" s="181"/>
      <c r="BB467" s="181"/>
      <c r="BC467" s="181"/>
    </row>
    <row r="468" spans="50:55" x14ac:dyDescent="0.2">
      <c r="AX468" s="181"/>
      <c r="AY468" s="181"/>
      <c r="AZ468" s="181"/>
      <c r="BA468" s="181"/>
      <c r="BB468" s="181"/>
      <c r="BC468" s="181"/>
    </row>
    <row r="469" spans="50:55" x14ac:dyDescent="0.2">
      <c r="AX469" s="181"/>
      <c r="AY469" s="181"/>
      <c r="AZ469" s="181"/>
      <c r="BA469" s="181"/>
      <c r="BB469" s="181"/>
      <c r="BC469" s="181"/>
    </row>
    <row r="470" spans="50:55" x14ac:dyDescent="0.2">
      <c r="AX470" s="181"/>
      <c r="AY470" s="181"/>
      <c r="AZ470" s="181"/>
      <c r="BA470" s="181"/>
      <c r="BB470" s="181"/>
      <c r="BC470" s="181"/>
    </row>
    <row r="471" spans="50:55" x14ac:dyDescent="0.2">
      <c r="AX471" s="181"/>
      <c r="AY471" s="181"/>
      <c r="AZ471" s="181"/>
      <c r="BA471" s="181"/>
      <c r="BB471" s="181"/>
      <c r="BC471" s="181"/>
    </row>
    <row r="472" spans="50:55" x14ac:dyDescent="0.2">
      <c r="AX472" s="181"/>
      <c r="AY472" s="181"/>
      <c r="AZ472" s="181"/>
      <c r="BA472" s="181"/>
      <c r="BB472" s="181"/>
      <c r="BC472" s="181"/>
    </row>
    <row r="473" spans="50:55" x14ac:dyDescent="0.2">
      <c r="AX473" s="181"/>
      <c r="AY473" s="181"/>
      <c r="AZ473" s="181"/>
      <c r="BA473" s="181"/>
      <c r="BB473" s="181"/>
      <c r="BC473" s="181"/>
    </row>
    <row r="474" spans="50:55" x14ac:dyDescent="0.2">
      <c r="AX474" s="181"/>
      <c r="AY474" s="181"/>
      <c r="AZ474" s="181"/>
      <c r="BA474" s="181"/>
      <c r="BB474" s="181"/>
      <c r="BC474" s="181"/>
    </row>
    <row r="475" spans="50:55" x14ac:dyDescent="0.2">
      <c r="AX475" s="181"/>
      <c r="AY475" s="181"/>
      <c r="AZ475" s="181"/>
      <c r="BA475" s="181"/>
      <c r="BB475" s="181"/>
      <c r="BC475" s="181"/>
    </row>
    <row r="476" spans="50:55" x14ac:dyDescent="0.2">
      <c r="AX476" s="181"/>
      <c r="AY476" s="181"/>
      <c r="AZ476" s="181"/>
      <c r="BA476" s="181"/>
      <c r="BB476" s="181"/>
      <c r="BC476" s="181"/>
    </row>
    <row r="477" spans="50:55" x14ac:dyDescent="0.2">
      <c r="AX477" s="181"/>
      <c r="AY477" s="181"/>
      <c r="AZ477" s="181"/>
      <c r="BA477" s="181"/>
      <c r="BB477" s="181"/>
      <c r="BC477" s="181"/>
    </row>
    <row r="478" spans="50:55" x14ac:dyDescent="0.2">
      <c r="AX478" s="181"/>
      <c r="AY478" s="181"/>
      <c r="AZ478" s="181"/>
      <c r="BA478" s="181"/>
      <c r="BB478" s="181"/>
      <c r="BC478" s="181"/>
    </row>
    <row r="479" spans="50:55" x14ac:dyDescent="0.2">
      <c r="AX479" s="181"/>
      <c r="AY479" s="181"/>
      <c r="AZ479" s="181"/>
      <c r="BA479" s="181"/>
      <c r="BB479" s="181"/>
      <c r="BC479" s="181"/>
    </row>
    <row r="480" spans="50:55" x14ac:dyDescent="0.2">
      <c r="AX480" s="181"/>
      <c r="AY480" s="181"/>
      <c r="AZ480" s="181"/>
      <c r="BA480" s="181"/>
      <c r="BB480" s="181"/>
      <c r="BC480" s="181"/>
    </row>
    <row r="481" spans="50:55" x14ac:dyDescent="0.2">
      <c r="AX481" s="181"/>
      <c r="AY481" s="181"/>
      <c r="AZ481" s="181"/>
      <c r="BA481" s="181"/>
      <c r="BB481" s="181"/>
      <c r="BC481" s="181"/>
    </row>
    <row r="482" spans="50:55" x14ac:dyDescent="0.2">
      <c r="AX482" s="181"/>
      <c r="AY482" s="181"/>
      <c r="AZ482" s="181"/>
      <c r="BA482" s="181"/>
      <c r="BB482" s="181"/>
      <c r="BC482" s="181"/>
    </row>
    <row r="483" spans="50:55" x14ac:dyDescent="0.2">
      <c r="AX483" s="181"/>
      <c r="AY483" s="181"/>
      <c r="AZ483" s="181"/>
      <c r="BA483" s="181"/>
      <c r="BB483" s="181"/>
      <c r="BC483" s="181"/>
    </row>
    <row r="484" spans="50:55" x14ac:dyDescent="0.2">
      <c r="AX484" s="181"/>
      <c r="AY484" s="181"/>
      <c r="AZ484" s="181"/>
      <c r="BA484" s="181"/>
      <c r="BB484" s="181"/>
      <c r="BC484" s="181"/>
    </row>
    <row r="485" spans="50:55" x14ac:dyDescent="0.2">
      <c r="AX485" s="181"/>
      <c r="AY485" s="181"/>
      <c r="AZ485" s="181"/>
      <c r="BA485" s="181"/>
      <c r="BB485" s="181"/>
      <c r="BC485" s="181"/>
    </row>
    <row r="486" spans="50:55" x14ac:dyDescent="0.2">
      <c r="AX486" s="181"/>
      <c r="AY486" s="181"/>
      <c r="AZ486" s="181"/>
      <c r="BA486" s="181"/>
      <c r="BB486" s="181"/>
      <c r="BC486" s="181"/>
    </row>
    <row r="487" spans="50:55" x14ac:dyDescent="0.2">
      <c r="AX487" s="181"/>
      <c r="AY487" s="181"/>
      <c r="AZ487" s="181"/>
      <c r="BA487" s="181"/>
      <c r="BB487" s="181"/>
      <c r="BC487" s="181"/>
    </row>
    <row r="488" spans="50:55" x14ac:dyDescent="0.2">
      <c r="AX488" s="181"/>
      <c r="AY488" s="181"/>
      <c r="AZ488" s="181"/>
      <c r="BA488" s="181"/>
      <c r="BB488" s="181"/>
      <c r="BC488" s="181"/>
    </row>
    <row r="489" spans="50:55" x14ac:dyDescent="0.2">
      <c r="AX489" s="181"/>
      <c r="AY489" s="181"/>
      <c r="AZ489" s="181"/>
      <c r="BA489" s="181"/>
      <c r="BB489" s="181"/>
      <c r="BC489" s="181"/>
    </row>
    <row r="490" spans="50:55" x14ac:dyDescent="0.2">
      <c r="AX490" s="181"/>
      <c r="AY490" s="181"/>
      <c r="AZ490" s="181"/>
      <c r="BA490" s="181"/>
      <c r="BB490" s="181"/>
      <c r="BC490" s="181"/>
    </row>
    <row r="491" spans="50:55" x14ac:dyDescent="0.2">
      <c r="AX491" s="181"/>
      <c r="AY491" s="181"/>
      <c r="AZ491" s="181"/>
      <c r="BA491" s="181"/>
      <c r="BB491" s="181"/>
      <c r="BC491" s="181"/>
    </row>
    <row r="492" spans="50:55" x14ac:dyDescent="0.2">
      <c r="AX492" s="181"/>
      <c r="AY492" s="181"/>
      <c r="AZ492" s="181"/>
      <c r="BA492" s="181"/>
      <c r="BB492" s="181"/>
      <c r="BC492" s="181"/>
    </row>
    <row r="493" spans="50:55" x14ac:dyDescent="0.2">
      <c r="AX493" s="181"/>
      <c r="AY493" s="181"/>
      <c r="AZ493" s="181"/>
      <c r="BA493" s="181"/>
      <c r="BB493" s="181"/>
      <c r="BC493" s="181"/>
    </row>
    <row r="494" spans="50:55" x14ac:dyDescent="0.2">
      <c r="AX494" s="181"/>
      <c r="AY494" s="181"/>
      <c r="AZ494" s="181"/>
      <c r="BA494" s="181"/>
      <c r="BB494" s="181"/>
      <c r="BC494" s="181"/>
    </row>
    <row r="495" spans="50:55" x14ac:dyDescent="0.2">
      <c r="AX495" s="181"/>
      <c r="AY495" s="181"/>
      <c r="AZ495" s="181"/>
      <c r="BA495" s="181"/>
      <c r="BB495" s="181"/>
      <c r="BC495" s="181"/>
    </row>
    <row r="496" spans="50:55" x14ac:dyDescent="0.2">
      <c r="AX496" s="181"/>
      <c r="AY496" s="181"/>
      <c r="AZ496" s="181"/>
      <c r="BA496" s="181"/>
      <c r="BB496" s="181"/>
      <c r="BC496" s="181"/>
    </row>
    <row r="497" spans="50:55" x14ac:dyDescent="0.2">
      <c r="AX497" s="181"/>
      <c r="AY497" s="181"/>
      <c r="AZ497" s="181"/>
      <c r="BA497" s="181"/>
      <c r="BB497" s="181"/>
      <c r="BC497" s="181"/>
    </row>
    <row r="498" spans="50:55" x14ac:dyDescent="0.2">
      <c r="AX498" s="181"/>
      <c r="AY498" s="181"/>
      <c r="AZ498" s="181"/>
      <c r="BA498" s="181"/>
      <c r="BB498" s="181"/>
      <c r="BC498" s="181"/>
    </row>
    <row r="499" spans="50:55" x14ac:dyDescent="0.2">
      <c r="AX499" s="181"/>
      <c r="AY499" s="181"/>
      <c r="AZ499" s="181"/>
      <c r="BA499" s="181"/>
      <c r="BB499" s="181"/>
      <c r="BC499" s="181"/>
    </row>
    <row r="500" spans="50:55" x14ac:dyDescent="0.2">
      <c r="AX500" s="181"/>
      <c r="AY500" s="181"/>
      <c r="AZ500" s="181"/>
      <c r="BA500" s="181"/>
      <c r="BB500" s="181"/>
      <c r="BC500" s="181"/>
    </row>
    <row r="501" spans="50:55" x14ac:dyDescent="0.2">
      <c r="AX501" s="181"/>
      <c r="AY501" s="181"/>
      <c r="AZ501" s="181"/>
      <c r="BA501" s="181"/>
      <c r="BB501" s="181"/>
      <c r="BC501" s="181"/>
    </row>
    <row r="502" spans="50:55" x14ac:dyDescent="0.2">
      <c r="AX502" s="181"/>
      <c r="AY502" s="181"/>
      <c r="AZ502" s="181"/>
      <c r="BA502" s="181"/>
      <c r="BB502" s="181"/>
      <c r="BC502" s="181"/>
    </row>
    <row r="503" spans="50:55" x14ac:dyDescent="0.2">
      <c r="AX503" s="181"/>
      <c r="AY503" s="181"/>
      <c r="AZ503" s="181"/>
      <c r="BA503" s="181"/>
      <c r="BB503" s="181"/>
      <c r="BC503" s="181"/>
    </row>
    <row r="504" spans="50:55" x14ac:dyDescent="0.2">
      <c r="AX504" s="181"/>
      <c r="AY504" s="181"/>
      <c r="AZ504" s="181"/>
      <c r="BA504" s="181"/>
      <c r="BB504" s="181"/>
      <c r="BC504" s="181"/>
    </row>
    <row r="505" spans="50:55" x14ac:dyDescent="0.2">
      <c r="AX505" s="181"/>
      <c r="AY505" s="181"/>
      <c r="AZ505" s="181"/>
      <c r="BA505" s="181"/>
      <c r="BB505" s="181"/>
      <c r="BC505" s="181"/>
    </row>
    <row r="506" spans="50:55" x14ac:dyDescent="0.2">
      <c r="AX506" s="181"/>
      <c r="AY506" s="181"/>
      <c r="AZ506" s="181"/>
      <c r="BA506" s="181"/>
      <c r="BB506" s="181"/>
      <c r="BC506" s="181"/>
    </row>
    <row r="507" spans="50:55" x14ac:dyDescent="0.2">
      <c r="AX507" s="181"/>
      <c r="AY507" s="181"/>
      <c r="AZ507" s="181"/>
      <c r="BA507" s="181"/>
      <c r="BB507" s="181"/>
      <c r="BC507" s="181"/>
    </row>
    <row r="508" spans="50:55" x14ac:dyDescent="0.2">
      <c r="AX508" s="181"/>
      <c r="AY508" s="181"/>
      <c r="AZ508" s="181"/>
      <c r="BA508" s="181"/>
      <c r="BB508" s="181"/>
      <c r="BC508" s="181"/>
    </row>
    <row r="509" spans="50:55" x14ac:dyDescent="0.2">
      <c r="AX509" s="181"/>
      <c r="AY509" s="181"/>
      <c r="AZ509" s="181"/>
      <c r="BA509" s="181"/>
      <c r="BB509" s="181"/>
      <c r="BC509" s="181"/>
    </row>
    <row r="510" spans="50:55" x14ac:dyDescent="0.2">
      <c r="AX510" s="181"/>
      <c r="AY510" s="181"/>
      <c r="AZ510" s="181"/>
      <c r="BA510" s="181"/>
      <c r="BB510" s="181"/>
      <c r="BC510" s="181"/>
    </row>
    <row r="511" spans="50:55" x14ac:dyDescent="0.2">
      <c r="AX511" s="181"/>
      <c r="AY511" s="181"/>
      <c r="AZ511" s="181"/>
      <c r="BA511" s="181"/>
      <c r="BB511" s="181"/>
      <c r="BC511" s="181"/>
    </row>
    <row r="512" spans="50:55" x14ac:dyDescent="0.2">
      <c r="AX512" s="181"/>
      <c r="AY512" s="181"/>
      <c r="AZ512" s="181"/>
      <c r="BA512" s="181"/>
      <c r="BB512" s="181"/>
      <c r="BC512" s="181"/>
    </row>
    <row r="513" spans="50:55" x14ac:dyDescent="0.2">
      <c r="AX513" s="181"/>
      <c r="AY513" s="181"/>
      <c r="AZ513" s="181"/>
      <c r="BA513" s="181"/>
      <c r="BB513" s="181"/>
      <c r="BC513" s="181"/>
    </row>
    <row r="514" spans="50:55" x14ac:dyDescent="0.2">
      <c r="AX514" s="181"/>
      <c r="AY514" s="181"/>
      <c r="AZ514" s="181"/>
      <c r="BA514" s="181"/>
      <c r="BB514" s="181"/>
      <c r="BC514" s="181"/>
    </row>
    <row r="515" spans="50:55" x14ac:dyDescent="0.2">
      <c r="AX515" s="181"/>
      <c r="AY515" s="181"/>
      <c r="AZ515" s="181"/>
      <c r="BA515" s="181"/>
      <c r="BB515" s="181"/>
      <c r="BC515" s="181"/>
    </row>
    <row r="516" spans="50:55" x14ac:dyDescent="0.2">
      <c r="AX516" s="181"/>
      <c r="AY516" s="181"/>
      <c r="AZ516" s="181"/>
      <c r="BA516" s="181"/>
      <c r="BB516" s="181"/>
      <c r="BC516" s="181"/>
    </row>
    <row r="517" spans="50:55" x14ac:dyDescent="0.2">
      <c r="AX517" s="181"/>
      <c r="AY517" s="181"/>
      <c r="AZ517" s="181"/>
      <c r="BA517" s="181"/>
      <c r="BB517" s="181"/>
      <c r="BC517" s="181"/>
    </row>
    <row r="518" spans="50:55" x14ac:dyDescent="0.2">
      <c r="AX518" s="181"/>
      <c r="AY518" s="181"/>
      <c r="AZ518" s="181"/>
      <c r="BA518" s="181"/>
      <c r="BB518" s="181"/>
      <c r="BC518" s="181"/>
    </row>
    <row r="519" spans="50:55" x14ac:dyDescent="0.2">
      <c r="AX519" s="181"/>
      <c r="AY519" s="181"/>
      <c r="AZ519" s="181"/>
      <c r="BA519" s="181"/>
      <c r="BB519" s="181"/>
      <c r="BC519" s="181"/>
    </row>
    <row r="520" spans="50:55" x14ac:dyDescent="0.2">
      <c r="AX520" s="181"/>
      <c r="AY520" s="181"/>
      <c r="AZ520" s="181"/>
      <c r="BA520" s="181"/>
      <c r="BB520" s="181"/>
      <c r="BC520" s="181"/>
    </row>
    <row r="521" spans="50:55" x14ac:dyDescent="0.2">
      <c r="AX521" s="181"/>
      <c r="AY521" s="181"/>
      <c r="AZ521" s="181"/>
      <c r="BA521" s="181"/>
      <c r="BB521" s="181"/>
      <c r="BC521" s="181"/>
    </row>
    <row r="522" spans="50:55" x14ac:dyDescent="0.2">
      <c r="AX522" s="181"/>
      <c r="AY522" s="181"/>
      <c r="AZ522" s="181"/>
      <c r="BA522" s="181"/>
      <c r="BB522" s="181"/>
      <c r="BC522" s="181"/>
    </row>
    <row r="523" spans="50:55" x14ac:dyDescent="0.2">
      <c r="AX523" s="181"/>
      <c r="AY523" s="181"/>
      <c r="AZ523" s="181"/>
      <c r="BA523" s="181"/>
      <c r="BB523" s="181"/>
      <c r="BC523" s="181"/>
    </row>
    <row r="524" spans="50:55" x14ac:dyDescent="0.2">
      <c r="AX524" s="181"/>
      <c r="AY524" s="181"/>
      <c r="AZ524" s="181"/>
      <c r="BA524" s="181"/>
      <c r="BB524" s="181"/>
      <c r="BC524" s="181"/>
    </row>
    <row r="525" spans="50:55" x14ac:dyDescent="0.2">
      <c r="AX525" s="181"/>
      <c r="AY525" s="181"/>
      <c r="AZ525" s="181"/>
      <c r="BA525" s="181"/>
      <c r="BB525" s="181"/>
      <c r="BC525" s="181"/>
    </row>
    <row r="526" spans="50:55" x14ac:dyDescent="0.2">
      <c r="AX526" s="181"/>
      <c r="AY526" s="181"/>
      <c r="AZ526" s="181"/>
      <c r="BA526" s="181"/>
      <c r="BB526" s="181"/>
      <c r="BC526" s="181"/>
    </row>
    <row r="527" spans="50:55" x14ac:dyDescent="0.2">
      <c r="AX527" s="181"/>
      <c r="AY527" s="181"/>
      <c r="AZ527" s="181"/>
      <c r="BA527" s="181"/>
      <c r="BB527" s="181"/>
      <c r="BC527" s="181"/>
    </row>
    <row r="528" spans="50:55" x14ac:dyDescent="0.2">
      <c r="AX528" s="181"/>
      <c r="AY528" s="181"/>
      <c r="AZ528" s="181"/>
      <c r="BA528" s="181"/>
      <c r="BB528" s="181"/>
      <c r="BC528" s="181"/>
    </row>
    <row r="529" spans="50:55" x14ac:dyDescent="0.2">
      <c r="AX529" s="181"/>
      <c r="AY529" s="181"/>
      <c r="AZ529" s="181"/>
      <c r="BA529" s="181"/>
      <c r="BB529" s="181"/>
      <c r="BC529" s="181"/>
    </row>
    <row r="530" spans="50:55" x14ac:dyDescent="0.2">
      <c r="AX530" s="181"/>
      <c r="AY530" s="181"/>
      <c r="AZ530" s="181"/>
      <c r="BA530" s="181"/>
      <c r="BB530" s="181"/>
      <c r="BC530" s="181"/>
    </row>
    <row r="531" spans="50:55" x14ac:dyDescent="0.2">
      <c r="AX531" s="181"/>
      <c r="AY531" s="181"/>
      <c r="AZ531" s="181"/>
      <c r="BA531" s="181"/>
      <c r="BB531" s="181"/>
      <c r="BC531" s="181"/>
    </row>
    <row r="532" spans="50:55" x14ac:dyDescent="0.2">
      <c r="AX532" s="181"/>
      <c r="AY532" s="181"/>
      <c r="AZ532" s="181"/>
      <c r="BA532" s="181"/>
      <c r="BB532" s="181"/>
      <c r="BC532" s="181"/>
    </row>
    <row r="533" spans="50:55" x14ac:dyDescent="0.2">
      <c r="AX533" s="181"/>
      <c r="AY533" s="181"/>
      <c r="AZ533" s="181"/>
      <c r="BA533" s="181"/>
      <c r="BB533" s="181"/>
      <c r="BC533" s="181"/>
    </row>
    <row r="534" spans="50:55" x14ac:dyDescent="0.2">
      <c r="AX534" s="181"/>
      <c r="AY534" s="181"/>
      <c r="AZ534" s="181"/>
      <c r="BA534" s="181"/>
      <c r="BB534" s="181"/>
      <c r="BC534" s="181"/>
    </row>
    <row r="535" spans="50:55" x14ac:dyDescent="0.2">
      <c r="AX535" s="181"/>
      <c r="AY535" s="181"/>
      <c r="AZ535" s="181"/>
      <c r="BA535" s="181"/>
      <c r="BB535" s="181"/>
      <c r="BC535" s="181"/>
    </row>
    <row r="536" spans="50:55" x14ac:dyDescent="0.2">
      <c r="AX536" s="181"/>
      <c r="AY536" s="181"/>
      <c r="AZ536" s="181"/>
      <c r="BA536" s="181"/>
      <c r="BB536" s="181"/>
      <c r="BC536" s="181"/>
    </row>
    <row r="537" spans="50:55" x14ac:dyDescent="0.2">
      <c r="AX537" s="181"/>
      <c r="AY537" s="181"/>
      <c r="AZ537" s="181"/>
      <c r="BA537" s="181"/>
      <c r="BB537" s="181"/>
      <c r="BC537" s="181"/>
    </row>
    <row r="538" spans="50:55" x14ac:dyDescent="0.2">
      <c r="AX538" s="181"/>
      <c r="AY538" s="181"/>
      <c r="AZ538" s="181"/>
      <c r="BA538" s="181"/>
      <c r="BB538" s="181"/>
      <c r="BC538" s="181"/>
    </row>
    <row r="539" spans="50:55" x14ac:dyDescent="0.2">
      <c r="AX539" s="181"/>
      <c r="AY539" s="181"/>
      <c r="AZ539" s="181"/>
      <c r="BA539" s="181"/>
      <c r="BB539" s="181"/>
      <c r="BC539" s="181"/>
    </row>
    <row r="540" spans="50:55" x14ac:dyDescent="0.2">
      <c r="AX540" s="181"/>
      <c r="AY540" s="181"/>
      <c r="AZ540" s="181"/>
      <c r="BA540" s="181"/>
      <c r="BB540" s="181"/>
      <c r="BC540" s="181"/>
    </row>
    <row r="541" spans="50:55" x14ac:dyDescent="0.2">
      <c r="AX541" s="181"/>
      <c r="AY541" s="181"/>
      <c r="AZ541" s="181"/>
      <c r="BA541" s="181"/>
      <c r="BB541" s="181"/>
      <c r="BC541" s="181"/>
    </row>
    <row r="542" spans="50:55" x14ac:dyDescent="0.2">
      <c r="AX542" s="181"/>
      <c r="AY542" s="181"/>
      <c r="AZ542" s="181"/>
      <c r="BA542" s="181"/>
      <c r="BB542" s="181"/>
      <c r="BC542" s="181"/>
    </row>
    <row r="543" spans="50:55" x14ac:dyDescent="0.2">
      <c r="AX543" s="181"/>
      <c r="AY543" s="181"/>
      <c r="AZ543" s="181"/>
      <c r="BA543" s="181"/>
      <c r="BB543" s="181"/>
      <c r="BC543" s="181"/>
    </row>
    <row r="544" spans="50:55" x14ac:dyDescent="0.2">
      <c r="AX544" s="181"/>
      <c r="AY544" s="181"/>
      <c r="AZ544" s="181"/>
      <c r="BA544" s="181"/>
      <c r="BB544" s="181"/>
      <c r="BC544" s="181"/>
    </row>
    <row r="545" spans="50:55" x14ac:dyDescent="0.2">
      <c r="AX545" s="181"/>
      <c r="AY545" s="181"/>
      <c r="AZ545" s="181"/>
      <c r="BA545" s="181"/>
      <c r="BB545" s="181"/>
      <c r="BC545" s="181"/>
    </row>
    <row r="546" spans="50:55" x14ac:dyDescent="0.2">
      <c r="AX546" s="181"/>
      <c r="AY546" s="181"/>
      <c r="AZ546" s="181"/>
      <c r="BA546" s="181"/>
      <c r="BB546" s="181"/>
      <c r="BC546" s="181"/>
    </row>
    <row r="547" spans="50:55" x14ac:dyDescent="0.2">
      <c r="AX547" s="181"/>
      <c r="AY547" s="181"/>
      <c r="AZ547" s="181"/>
      <c r="BA547" s="181"/>
      <c r="BB547" s="181"/>
      <c r="BC547" s="181"/>
    </row>
    <row r="548" spans="50:55" x14ac:dyDescent="0.2">
      <c r="AX548" s="181"/>
      <c r="AY548" s="181"/>
      <c r="AZ548" s="181"/>
      <c r="BA548" s="181"/>
      <c r="BB548" s="181"/>
      <c r="BC548" s="181"/>
    </row>
    <row r="549" spans="50:55" x14ac:dyDescent="0.2">
      <c r="AX549" s="181"/>
      <c r="AY549" s="181"/>
      <c r="AZ549" s="181"/>
      <c r="BA549" s="181"/>
      <c r="BB549" s="181"/>
      <c r="BC549" s="181"/>
    </row>
    <row r="550" spans="50:55" x14ac:dyDescent="0.2">
      <c r="AX550" s="181"/>
      <c r="AY550" s="181"/>
      <c r="AZ550" s="181"/>
      <c r="BA550" s="181"/>
      <c r="BB550" s="181"/>
      <c r="BC550" s="181"/>
    </row>
    <row r="551" spans="50:55" x14ac:dyDescent="0.2">
      <c r="AX551" s="181"/>
      <c r="AY551" s="181"/>
      <c r="AZ551" s="181"/>
      <c r="BA551" s="181"/>
      <c r="BB551" s="181"/>
      <c r="BC551" s="181"/>
    </row>
    <row r="552" spans="50:55" x14ac:dyDescent="0.2">
      <c r="AX552" s="181"/>
      <c r="AY552" s="181"/>
      <c r="AZ552" s="181"/>
      <c r="BA552" s="181"/>
      <c r="BB552" s="181"/>
      <c r="BC552" s="181"/>
    </row>
    <row r="553" spans="50:55" x14ac:dyDescent="0.2">
      <c r="AX553" s="181"/>
      <c r="AY553" s="181"/>
      <c r="AZ553" s="181"/>
      <c r="BA553" s="181"/>
      <c r="BB553" s="181"/>
      <c r="BC553" s="181"/>
    </row>
    <row r="554" spans="50:55" x14ac:dyDescent="0.2">
      <c r="AX554" s="181"/>
      <c r="AY554" s="181"/>
      <c r="AZ554" s="181"/>
      <c r="BA554" s="181"/>
      <c r="BB554" s="181"/>
      <c r="BC554" s="181"/>
    </row>
    <row r="555" spans="50:55" x14ac:dyDescent="0.2">
      <c r="AX555" s="181"/>
      <c r="AY555" s="181"/>
      <c r="AZ555" s="181"/>
      <c r="BA555" s="181"/>
      <c r="BB555" s="181"/>
      <c r="BC555" s="181"/>
    </row>
    <row r="556" spans="50:55" x14ac:dyDescent="0.2">
      <c r="AX556" s="181"/>
      <c r="AY556" s="181"/>
      <c r="AZ556" s="181"/>
      <c r="BA556" s="181"/>
      <c r="BB556" s="181"/>
      <c r="BC556" s="181"/>
    </row>
    <row r="557" spans="50:55" x14ac:dyDescent="0.2">
      <c r="AX557" s="181"/>
      <c r="AY557" s="181"/>
      <c r="AZ557" s="181"/>
      <c r="BA557" s="181"/>
      <c r="BB557" s="181"/>
      <c r="BC557" s="181"/>
    </row>
    <row r="558" spans="50:55" x14ac:dyDescent="0.2">
      <c r="AX558" s="181"/>
      <c r="AY558" s="181"/>
      <c r="AZ558" s="181"/>
      <c r="BA558" s="181"/>
      <c r="BB558" s="181"/>
      <c r="BC558" s="181"/>
    </row>
    <row r="559" spans="50:55" x14ac:dyDescent="0.2">
      <c r="AX559" s="181"/>
      <c r="AY559" s="181"/>
      <c r="AZ559" s="181"/>
      <c r="BA559" s="181"/>
      <c r="BB559" s="181"/>
      <c r="BC559" s="181"/>
    </row>
    <row r="560" spans="50:55" x14ac:dyDescent="0.2">
      <c r="AX560" s="181"/>
      <c r="AY560" s="181"/>
      <c r="AZ560" s="181"/>
      <c r="BA560" s="181"/>
      <c r="BB560" s="181"/>
      <c r="BC560" s="181"/>
    </row>
    <row r="561" spans="50:55" x14ac:dyDescent="0.2">
      <c r="AX561" s="181"/>
      <c r="AY561" s="181"/>
      <c r="AZ561" s="181"/>
      <c r="BA561" s="181"/>
      <c r="BB561" s="181"/>
      <c r="BC561" s="181"/>
    </row>
    <row r="562" spans="50:55" x14ac:dyDescent="0.2">
      <c r="AX562" s="181"/>
      <c r="AY562" s="181"/>
      <c r="AZ562" s="181"/>
      <c r="BA562" s="181"/>
      <c r="BB562" s="181"/>
      <c r="BC562" s="181"/>
    </row>
    <row r="563" spans="50:55" x14ac:dyDescent="0.2">
      <c r="AX563" s="181"/>
      <c r="AY563" s="181"/>
      <c r="AZ563" s="181"/>
      <c r="BA563" s="181"/>
      <c r="BB563" s="181"/>
      <c r="BC563" s="181"/>
    </row>
    <row r="564" spans="50:55" x14ac:dyDescent="0.2">
      <c r="AX564" s="181"/>
      <c r="AY564" s="181"/>
      <c r="AZ564" s="181"/>
      <c r="BA564" s="181"/>
      <c r="BB564" s="181"/>
      <c r="BC564" s="181"/>
    </row>
    <row r="565" spans="50:55" x14ac:dyDescent="0.2">
      <c r="AX565" s="181"/>
      <c r="AY565" s="181"/>
      <c r="AZ565" s="181"/>
      <c r="BA565" s="181"/>
      <c r="BB565" s="181"/>
      <c r="BC565" s="181"/>
    </row>
    <row r="566" spans="50:55" x14ac:dyDescent="0.2">
      <c r="AX566" s="181"/>
      <c r="AY566" s="181"/>
      <c r="AZ566" s="181"/>
      <c r="BA566" s="181"/>
      <c r="BB566" s="181"/>
      <c r="BC566" s="181"/>
    </row>
    <row r="567" spans="50:55" x14ac:dyDescent="0.2">
      <c r="AX567" s="181"/>
      <c r="AY567" s="181"/>
      <c r="AZ567" s="181"/>
      <c r="BA567" s="181"/>
      <c r="BB567" s="181"/>
      <c r="BC567" s="181"/>
    </row>
    <row r="568" spans="50:55" x14ac:dyDescent="0.2">
      <c r="AX568" s="181"/>
      <c r="AY568" s="181"/>
      <c r="AZ568" s="181"/>
      <c r="BA568" s="181"/>
      <c r="BB568" s="181"/>
      <c r="BC568" s="181"/>
    </row>
    <row r="569" spans="50:55" x14ac:dyDescent="0.2">
      <c r="AX569" s="181"/>
      <c r="AY569" s="181"/>
      <c r="AZ569" s="181"/>
      <c r="BA569" s="181"/>
      <c r="BB569" s="181"/>
      <c r="BC569" s="181"/>
    </row>
    <row r="570" spans="50:55" x14ac:dyDescent="0.2">
      <c r="AX570" s="181"/>
      <c r="AY570" s="181"/>
      <c r="AZ570" s="181"/>
      <c r="BA570" s="181"/>
      <c r="BB570" s="181"/>
      <c r="BC570" s="181"/>
    </row>
    <row r="571" spans="50:55" x14ac:dyDescent="0.2">
      <c r="AX571" s="181"/>
      <c r="AY571" s="181"/>
      <c r="AZ571" s="181"/>
      <c r="BA571" s="181"/>
      <c r="BB571" s="181"/>
      <c r="BC571" s="181"/>
    </row>
    <row r="572" spans="50:55" x14ac:dyDescent="0.2">
      <c r="AX572" s="181"/>
      <c r="AY572" s="181"/>
      <c r="AZ572" s="181"/>
      <c r="BA572" s="181"/>
      <c r="BB572" s="181"/>
      <c r="BC572" s="181"/>
    </row>
    <row r="573" spans="50:55" x14ac:dyDescent="0.2">
      <c r="AX573" s="181"/>
      <c r="AY573" s="181"/>
      <c r="AZ573" s="181"/>
      <c r="BA573" s="181"/>
      <c r="BB573" s="181"/>
      <c r="BC573" s="181"/>
    </row>
    <row r="574" spans="50:55" x14ac:dyDescent="0.2">
      <c r="AX574" s="181"/>
      <c r="AY574" s="181"/>
      <c r="AZ574" s="181"/>
      <c r="BA574" s="181"/>
      <c r="BB574" s="181"/>
      <c r="BC574" s="181"/>
    </row>
    <row r="575" spans="50:55" x14ac:dyDescent="0.2">
      <c r="AX575" s="181"/>
      <c r="AY575" s="181"/>
      <c r="AZ575" s="181"/>
      <c r="BA575" s="181"/>
      <c r="BB575" s="181"/>
      <c r="BC575" s="181"/>
    </row>
    <row r="576" spans="50:55" x14ac:dyDescent="0.2">
      <c r="AX576" s="181"/>
      <c r="AY576" s="181"/>
      <c r="AZ576" s="181"/>
      <c r="BA576" s="181"/>
      <c r="BB576" s="181"/>
      <c r="BC576" s="181"/>
    </row>
    <row r="577" spans="50:55" x14ac:dyDescent="0.2">
      <c r="AX577" s="181"/>
      <c r="AY577" s="181"/>
      <c r="AZ577" s="181"/>
      <c r="BA577" s="181"/>
      <c r="BB577" s="181"/>
      <c r="BC577" s="181"/>
    </row>
    <row r="578" spans="50:55" x14ac:dyDescent="0.2">
      <c r="AX578" s="181"/>
      <c r="AY578" s="181"/>
      <c r="AZ578" s="181"/>
      <c r="BA578" s="181"/>
      <c r="BB578" s="181"/>
      <c r="BC578" s="181"/>
    </row>
    <row r="579" spans="50:55" x14ac:dyDescent="0.2">
      <c r="AX579" s="181"/>
      <c r="AY579" s="181"/>
      <c r="AZ579" s="181"/>
      <c r="BA579" s="181"/>
      <c r="BB579" s="181"/>
      <c r="BC579" s="181"/>
    </row>
    <row r="580" spans="50:55" x14ac:dyDescent="0.2">
      <c r="AX580" s="181"/>
      <c r="AY580" s="181"/>
      <c r="AZ580" s="181"/>
      <c r="BA580" s="181"/>
      <c r="BB580" s="181"/>
      <c r="BC580" s="181"/>
    </row>
    <row r="581" spans="50:55" x14ac:dyDescent="0.2">
      <c r="AX581" s="181"/>
      <c r="AY581" s="181"/>
      <c r="AZ581" s="181"/>
      <c r="BA581" s="181"/>
      <c r="BB581" s="181"/>
      <c r="BC581" s="181"/>
    </row>
    <row r="582" spans="50:55" x14ac:dyDescent="0.2">
      <c r="AX582" s="181"/>
      <c r="AY582" s="181"/>
      <c r="AZ582" s="181"/>
      <c r="BA582" s="181"/>
      <c r="BB582" s="181"/>
      <c r="BC582" s="181"/>
    </row>
  </sheetData>
  <sheetProtection algorithmName="SHA-512" hashValue="8c4wJcxHGNGVhreDbGM2IKBLeZtL8YopsQ4ks9NHjCwz2v1nmoq2nETVRVA1pCbIUAJLLwQ+0HLtoiyIt9yf/Q==" saltValue="PW9X2MEfOyDwzcxdZdj7IA==" spinCount="100000" sheet="1" selectLockedCells="1"/>
  <dataConsolidate/>
  <mergeCells count="61">
    <mergeCell ref="H35:J37"/>
    <mergeCell ref="C44:E45"/>
    <mergeCell ref="K44:N45"/>
    <mergeCell ref="E64:F65"/>
    <mergeCell ref="G64:H65"/>
    <mergeCell ref="E55:L57"/>
    <mergeCell ref="G58:H59"/>
    <mergeCell ref="B180:F181"/>
    <mergeCell ref="C189:G190"/>
    <mergeCell ref="I171:M172"/>
    <mergeCell ref="I160:O162"/>
    <mergeCell ref="B162:F163"/>
    <mergeCell ref="I163:M164"/>
    <mergeCell ref="N163:O164"/>
    <mergeCell ref="N171:O172"/>
    <mergeCell ref="I173:M174"/>
    <mergeCell ref="N173:O174"/>
    <mergeCell ref="B174:F175"/>
    <mergeCell ref="I165:M166"/>
    <mergeCell ref="N165:O166"/>
    <mergeCell ref="I167:M168"/>
    <mergeCell ref="N167:O168"/>
    <mergeCell ref="I169:M170"/>
    <mergeCell ref="N169:O170"/>
    <mergeCell ref="B154:F155"/>
    <mergeCell ref="H41:I42"/>
    <mergeCell ref="F23:N24"/>
    <mergeCell ref="C31:E31"/>
    <mergeCell ref="C30:E30"/>
    <mergeCell ref="C29:E29"/>
    <mergeCell ref="C28:E28"/>
    <mergeCell ref="C33:E34"/>
    <mergeCell ref="C26:E27"/>
    <mergeCell ref="G62:H63"/>
    <mergeCell ref="I58:J59"/>
    <mergeCell ref="K58:L59"/>
    <mergeCell ref="E58:F59"/>
    <mergeCell ref="K66:L67"/>
    <mergeCell ref="I66:J67"/>
    <mergeCell ref="E68:L71"/>
    <mergeCell ref="K60:L61"/>
    <mergeCell ref="I60:J61"/>
    <mergeCell ref="G60:H61"/>
    <mergeCell ref="E66:F67"/>
    <mergeCell ref="E62:F63"/>
    <mergeCell ref="E60:F61"/>
    <mergeCell ref="G66:H67"/>
    <mergeCell ref="K64:L65"/>
    <mergeCell ref="I64:J65"/>
    <mergeCell ref="K62:L63"/>
    <mergeCell ref="I62:J63"/>
    <mergeCell ref="B1:O5"/>
    <mergeCell ref="O28:O31"/>
    <mergeCell ref="W5:AV5"/>
    <mergeCell ref="K26:N27"/>
    <mergeCell ref="K33:N34"/>
    <mergeCell ref="C9:G11"/>
    <mergeCell ref="H26:J28"/>
    <mergeCell ref="E20:F20"/>
    <mergeCell ref="B17:C17"/>
    <mergeCell ref="J22:N22"/>
  </mergeCells>
  <conditionalFormatting sqref="H46">
    <cfRule type="expression" dxfId="16" priority="26">
      <formula>$AF$12=0</formula>
    </cfRule>
  </conditionalFormatting>
  <conditionalFormatting sqref="F23">
    <cfRule type="notContainsBlanks" dxfId="15" priority="29">
      <formula>LEN(TRIM(F23))&gt;0</formula>
    </cfRule>
  </conditionalFormatting>
  <conditionalFormatting sqref="C28 F28:G28">
    <cfRule type="expression" dxfId="14" priority="30">
      <formula>$F$23="Please select homes connected to transformer above"</formula>
    </cfRule>
  </conditionalFormatting>
  <conditionalFormatting sqref="C29 F29:G29">
    <cfRule type="expression" dxfId="13" priority="31">
      <formula>$F$23="Please select transformer size using drop-down menu"</formula>
    </cfRule>
  </conditionalFormatting>
  <conditionalFormatting sqref="C35:G35 N12:N21">
    <cfRule type="expression" dxfId="12" priority="12">
      <formula>$F$23="Please select homes connected to secondary conductor above or select ""No Secondary Conductor"" checkbox below"</formula>
    </cfRule>
  </conditionalFormatting>
  <conditionalFormatting sqref="N12:N21">
    <cfRule type="expression" dxfId="11" priority="13">
      <formula>COUNT($AC$12:$AC$20)&gt;0</formula>
    </cfRule>
  </conditionalFormatting>
  <conditionalFormatting sqref="C36:G36">
    <cfRule type="expression" dxfId="10" priority="11">
      <formula>$F$23="Please select wire used for secondary using drop-down menu"</formula>
    </cfRule>
  </conditionalFormatting>
  <conditionalFormatting sqref="C37:G37">
    <cfRule type="expression" dxfId="9" priority="10">
      <formula>$F$23="Please select length of wire for secondary using slide bar"</formula>
    </cfRule>
  </conditionalFormatting>
  <conditionalFormatting sqref="C46:G46 O12:O21">
    <cfRule type="expression" dxfId="8" priority="8">
      <formula>$F$23="Please select one home connected to service line above for Flicker and Voltage Drop analysis"</formula>
    </cfRule>
  </conditionalFormatting>
  <conditionalFormatting sqref="O12:O21">
    <cfRule type="expression" dxfId="7" priority="9">
      <formula>$Z$12&gt;0</formula>
    </cfRule>
  </conditionalFormatting>
  <conditionalFormatting sqref="C47:G47">
    <cfRule type="expression" dxfId="6" priority="7">
      <formula>$F$23="Please select wire used for service conductor using drop-down menu"</formula>
    </cfRule>
  </conditionalFormatting>
  <conditionalFormatting sqref="C48:G48">
    <cfRule type="expression" dxfId="5" priority="6">
      <formula>$F$23="Please select length of wire for service using slide bar"</formula>
    </cfRule>
  </conditionalFormatting>
  <conditionalFormatting sqref="M12:M21">
    <cfRule type="expression" dxfId="4" priority="32">
      <formula>$F$23="Please select homes connected to transformer above"</formula>
    </cfRule>
    <cfRule type="expression" dxfId="3" priority="33">
      <formula>$F$28&gt;0</formula>
    </cfRule>
  </conditionalFormatting>
  <conditionalFormatting sqref="H35:J37">
    <cfRule type="cellIs" dxfId="2" priority="2" operator="equal">
      <formula>"Home is still connected to secondary"</formula>
    </cfRule>
  </conditionalFormatting>
  <pageMargins left="0.75" right="0.75" top="1" bottom="1" header="0.5" footer="0.5"/>
  <pageSetup scale="5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>
              <from>
                <xdr:col>3</xdr:col>
                <xdr:colOff>219075</xdr:colOff>
                <xdr:row>40</xdr:row>
                <xdr:rowOff>28575</xdr:rowOff>
              </from>
              <to>
                <xdr:col>5</xdr:col>
                <xdr:colOff>581025</xdr:colOff>
                <xdr:row>42</xdr:row>
                <xdr:rowOff>9525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>
              <from>
                <xdr:col>3</xdr:col>
                <xdr:colOff>209550</xdr:colOff>
                <xdr:row>51</xdr:row>
                <xdr:rowOff>38100</xdr:rowOff>
              </from>
              <to>
                <xdr:col>5</xdr:col>
                <xdr:colOff>561975</xdr:colOff>
                <xdr:row>52</xdr:row>
                <xdr:rowOff>180975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138" r:id="rId8">
          <objectPr defaultSize="0" autoPict="0" r:id="rId9">
            <anchor moveWithCells="1" sizeWithCells="1">
              <from>
                <xdr:col>10</xdr:col>
                <xdr:colOff>552450</xdr:colOff>
                <xdr:row>39</xdr:row>
                <xdr:rowOff>133350</xdr:rowOff>
              </from>
              <to>
                <xdr:col>13</xdr:col>
                <xdr:colOff>95250</xdr:colOff>
                <xdr:row>41</xdr:row>
                <xdr:rowOff>95250</xdr:rowOff>
              </to>
            </anchor>
          </objectPr>
        </oleObject>
      </mc:Choice>
      <mc:Fallback>
        <oleObject progId="Equation.3" shapeId="3138" r:id="rId8"/>
      </mc:Fallback>
    </mc:AlternateContent>
    <mc:AlternateContent xmlns:mc="http://schemas.openxmlformats.org/markup-compatibility/2006">
      <mc:Choice Requires="x14">
        <oleObject progId="Equation.3" shapeId="3141" r:id="rId10">
          <objectPr defaultSize="0" autoPict="0" r:id="rId11">
            <anchor moveWithCells="1" sizeWithCells="1">
              <from>
                <xdr:col>10</xdr:col>
                <xdr:colOff>571500</xdr:colOff>
                <xdr:row>50</xdr:row>
                <xdr:rowOff>133350</xdr:rowOff>
              </from>
              <to>
                <xdr:col>13</xdr:col>
                <xdr:colOff>95250</xdr:colOff>
                <xdr:row>52</xdr:row>
                <xdr:rowOff>95250</xdr:rowOff>
              </to>
            </anchor>
          </objectPr>
        </oleObject>
      </mc:Choice>
      <mc:Fallback>
        <oleObject progId="Equation.3" shapeId="3141" r:id="rId10"/>
      </mc:Fallback>
    </mc:AlternateContent>
  </oleObjects>
  <controls>
    <mc:AlternateContent xmlns:mc="http://schemas.openxmlformats.org/markup-compatibility/2006">
      <mc:Choice Requires="x14">
        <control shapeId="3144" r:id="rId12" name="CheckBox1">
          <controlPr defaultSize="0" autoLine="0" r:id="rId13">
            <anchor moveWithCells="1" sizeWithCells="1">
              <from>
                <xdr:col>7</xdr:col>
                <xdr:colOff>28575</xdr:colOff>
                <xdr:row>32</xdr:row>
                <xdr:rowOff>47625</xdr:rowOff>
              </from>
              <to>
                <xdr:col>9</xdr:col>
                <xdr:colOff>657225</xdr:colOff>
                <xdr:row>33</xdr:row>
                <xdr:rowOff>123825</xdr:rowOff>
              </to>
            </anchor>
          </controlPr>
        </control>
      </mc:Choice>
      <mc:Fallback>
        <control shapeId="3144" r:id="rId12" name="CheckBox1"/>
      </mc:Fallback>
    </mc:AlternateContent>
    <mc:AlternateContent xmlns:mc="http://schemas.openxmlformats.org/markup-compatibility/2006">
      <mc:Choice Requires="x14">
        <control shapeId="3075" r:id="rId14" name="Drop Down 3">
          <controlPr defaultSize="0" autoLine="0" autoPict="0">
            <anchor moveWithCells="1">
              <from>
                <xdr:col>5</xdr:col>
                <xdr:colOff>9525</xdr:colOff>
                <xdr:row>35</xdr:row>
                <xdr:rowOff>9525</xdr:rowOff>
              </from>
              <to>
                <xdr:col>5</xdr:col>
                <xdr:colOff>666750</xdr:colOff>
                <xdr:row>35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6" r:id="rId15" name="Scroll Bar 4">
          <controlPr defaultSize="0" print="0" autoPict="0">
            <anchor moveWithCells="1">
              <from>
                <xdr:col>4</xdr:col>
                <xdr:colOff>123825</xdr:colOff>
                <xdr:row>36</xdr:row>
                <xdr:rowOff>19050</xdr:rowOff>
              </from>
              <to>
                <xdr:col>4</xdr:col>
                <xdr:colOff>666750</xdr:colOff>
                <xdr:row>36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9" r:id="rId16" name="Drop Down 7">
          <controlPr defaultSize="0" autoLine="0" autoPict="0">
            <anchor moveWithCells="1">
              <from>
                <xdr:col>5</xdr:col>
                <xdr:colOff>9525</xdr:colOff>
                <xdr:row>46</xdr:row>
                <xdr:rowOff>9525</xdr:rowOff>
              </from>
              <to>
                <xdr:col>5</xdr:col>
                <xdr:colOff>666750</xdr:colOff>
                <xdr:row>46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0" r:id="rId17" name="Scroll Bar 8">
          <controlPr defaultSize="0" print="0" autoPict="0">
            <anchor moveWithCells="1">
              <from>
                <xdr:col>4</xdr:col>
                <xdr:colOff>133350</xdr:colOff>
                <xdr:row>47</xdr:row>
                <xdr:rowOff>28575</xdr:rowOff>
              </from>
              <to>
                <xdr:col>5</xdr:col>
                <xdr:colOff>0</xdr:colOff>
                <xdr:row>47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5" r:id="rId18" name="Check Box 13">
          <controlPr locked="0" defaultSize="0" autoFill="0" autoLine="0" autoPict="0">
            <anchor moveWithCells="1">
              <from>
                <xdr:col>12</xdr:col>
                <xdr:colOff>257175</xdr:colOff>
                <xdr:row>11</xdr:row>
                <xdr:rowOff>9525</xdr:rowOff>
              </from>
              <to>
                <xdr:col>13</xdr:col>
                <xdr:colOff>66675</xdr:colOff>
                <xdr:row>12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7" r:id="rId19" name="Check Box 15">
          <controlPr locked="0" defaultSize="0" autoFill="0" autoLine="0" autoPict="0">
            <anchor moveWithCells="1">
              <from>
                <xdr:col>12</xdr:col>
                <xdr:colOff>257175</xdr:colOff>
                <xdr:row>11</xdr:row>
                <xdr:rowOff>180975</xdr:rowOff>
              </from>
              <to>
                <xdr:col>13</xdr:col>
                <xdr:colOff>9525</xdr:colOff>
                <xdr:row>13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9" r:id="rId20" name="Check Box 17">
          <controlPr locked="0" defaultSize="0" autoFill="0" autoLine="0" autoPict="0">
            <anchor moveWithCells="1">
              <from>
                <xdr:col>12</xdr:col>
                <xdr:colOff>257175</xdr:colOff>
                <xdr:row>13</xdr:row>
                <xdr:rowOff>9525</xdr:rowOff>
              </from>
              <to>
                <xdr:col>13</xdr:col>
                <xdr:colOff>66675</xdr:colOff>
                <xdr:row>14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0" r:id="rId21" name="Check Box 18">
          <controlPr locked="0" defaultSize="0" autoFill="0" autoLine="0" autoPict="0">
            <anchor moveWithCells="1">
              <from>
                <xdr:col>12</xdr:col>
                <xdr:colOff>257175</xdr:colOff>
                <xdr:row>14</xdr:row>
                <xdr:rowOff>9525</xdr:rowOff>
              </from>
              <to>
                <xdr:col>13</xdr:col>
                <xdr:colOff>66675</xdr:colOff>
                <xdr:row>15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1" r:id="rId22" name="Check Box 19">
          <controlPr locked="0" defaultSize="0" autoFill="0" autoLine="0" autoPict="0">
            <anchor moveWithCells="1">
              <from>
                <xdr:col>12</xdr:col>
                <xdr:colOff>257175</xdr:colOff>
                <xdr:row>15</xdr:row>
                <xdr:rowOff>9525</xdr:rowOff>
              </from>
              <to>
                <xdr:col>13</xdr:col>
                <xdr:colOff>66675</xdr:colOff>
                <xdr:row>16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2" r:id="rId23" name="Check Box 20">
          <controlPr locked="0" defaultSize="0" autoFill="0" autoLine="0" autoPict="0">
            <anchor moveWithCells="1">
              <from>
                <xdr:col>12</xdr:col>
                <xdr:colOff>257175</xdr:colOff>
                <xdr:row>16</xdr:row>
                <xdr:rowOff>9525</xdr:rowOff>
              </from>
              <to>
                <xdr:col>13</xdr:col>
                <xdr:colOff>66675</xdr:colOff>
                <xdr:row>17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3" r:id="rId24" name="Check Box 21">
          <controlPr locked="0" defaultSize="0" autoFill="0" autoLine="0" autoPict="0">
            <anchor moveWithCells="1">
              <from>
                <xdr:col>12</xdr:col>
                <xdr:colOff>257175</xdr:colOff>
                <xdr:row>17</xdr:row>
                <xdr:rowOff>9525</xdr:rowOff>
              </from>
              <to>
                <xdr:col>13</xdr:col>
                <xdr:colOff>66675</xdr:colOff>
                <xdr:row>18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4" r:id="rId25" name="Check Box 22">
          <controlPr locked="0" defaultSize="0" autoFill="0" autoLine="0" autoPict="0">
            <anchor moveWithCells="1">
              <from>
                <xdr:col>12</xdr:col>
                <xdr:colOff>257175</xdr:colOff>
                <xdr:row>18</xdr:row>
                <xdr:rowOff>9525</xdr:rowOff>
              </from>
              <to>
                <xdr:col>13</xdr:col>
                <xdr:colOff>66675</xdr:colOff>
                <xdr:row>19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5" r:id="rId26" name="Check Box 23">
          <controlPr locked="0" defaultSize="0" autoFill="0" autoLine="0" autoPict="0">
            <anchor moveWithCells="1">
              <from>
                <xdr:col>12</xdr:col>
                <xdr:colOff>257175</xdr:colOff>
                <xdr:row>19</xdr:row>
                <xdr:rowOff>9525</xdr:rowOff>
              </from>
              <to>
                <xdr:col>13</xdr:col>
                <xdr:colOff>66675</xdr:colOff>
                <xdr:row>20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6" r:id="rId27" name="Check Box 24">
          <controlPr locked="0" defaultSize="0" autoFill="0" autoLine="0" autoPict="0">
            <anchor moveWithCells="1">
              <from>
                <xdr:col>12</xdr:col>
                <xdr:colOff>257175</xdr:colOff>
                <xdr:row>20</xdr:row>
                <xdr:rowOff>9525</xdr:rowOff>
              </from>
              <to>
                <xdr:col>13</xdr:col>
                <xdr:colOff>66675</xdr:colOff>
                <xdr:row>21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7" r:id="rId28" name="Check Box 25">
          <controlPr locked="0" defaultSize="0" autoFill="0" autoLine="0" autoPict="0">
            <anchor moveWithCells="1">
              <from>
                <xdr:col>13</xdr:col>
                <xdr:colOff>257175</xdr:colOff>
                <xdr:row>11</xdr:row>
                <xdr:rowOff>9525</xdr:rowOff>
              </from>
              <to>
                <xdr:col>14</xdr:col>
                <xdr:colOff>66675</xdr:colOff>
                <xdr:row>12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8" r:id="rId29" name="Check Box 26">
          <controlPr locked="0" defaultSize="0" autoFill="0" autoLine="0" autoPict="0">
            <anchor moveWithCells="1">
              <from>
                <xdr:col>13</xdr:col>
                <xdr:colOff>257175</xdr:colOff>
                <xdr:row>11</xdr:row>
                <xdr:rowOff>180975</xdr:rowOff>
              </from>
              <to>
                <xdr:col>14</xdr:col>
                <xdr:colOff>9525</xdr:colOff>
                <xdr:row>13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0" r:id="rId30" name="Check Box 28">
          <controlPr locked="0" defaultSize="0" autoFill="0" autoLine="0" autoPict="0">
            <anchor moveWithCells="1">
              <from>
                <xdr:col>13</xdr:col>
                <xdr:colOff>257175</xdr:colOff>
                <xdr:row>14</xdr:row>
                <xdr:rowOff>9525</xdr:rowOff>
              </from>
              <to>
                <xdr:col>14</xdr:col>
                <xdr:colOff>66675</xdr:colOff>
                <xdr:row>15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3" r:id="rId31" name="Check Box 31">
          <controlPr locked="0" defaultSize="0" autoFill="0" autoLine="0" autoPict="0">
            <anchor moveWithCells="1">
              <from>
                <xdr:col>13</xdr:col>
                <xdr:colOff>257175</xdr:colOff>
                <xdr:row>17</xdr:row>
                <xdr:rowOff>9525</xdr:rowOff>
              </from>
              <to>
                <xdr:col>14</xdr:col>
                <xdr:colOff>66675</xdr:colOff>
                <xdr:row>18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4" r:id="rId32" name="Check Box 32">
          <controlPr locked="0" defaultSize="0" autoFill="0" autoLine="0" autoPict="0">
            <anchor moveWithCells="1">
              <from>
                <xdr:col>13</xdr:col>
                <xdr:colOff>257175</xdr:colOff>
                <xdr:row>18</xdr:row>
                <xdr:rowOff>9525</xdr:rowOff>
              </from>
              <to>
                <xdr:col>14</xdr:col>
                <xdr:colOff>66675</xdr:colOff>
                <xdr:row>19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5" r:id="rId33" name="Check Box 33">
          <controlPr locked="0" defaultSize="0" autoFill="0" autoLine="0" autoPict="0">
            <anchor moveWithCells="1">
              <from>
                <xdr:col>13</xdr:col>
                <xdr:colOff>257175</xdr:colOff>
                <xdr:row>19</xdr:row>
                <xdr:rowOff>9525</xdr:rowOff>
              </from>
              <to>
                <xdr:col>14</xdr:col>
                <xdr:colOff>66675</xdr:colOff>
                <xdr:row>20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6" r:id="rId34" name="Check Box 34">
          <controlPr locked="0" defaultSize="0" autoFill="0" autoLine="0" autoPict="0">
            <anchor moveWithCells="1">
              <from>
                <xdr:col>13</xdr:col>
                <xdr:colOff>257175</xdr:colOff>
                <xdr:row>20</xdr:row>
                <xdr:rowOff>9525</xdr:rowOff>
              </from>
              <to>
                <xdr:col>14</xdr:col>
                <xdr:colOff>66675</xdr:colOff>
                <xdr:row>21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7" r:id="rId35" name="Option Button 35">
          <controlPr locked="0" defaultSize="0" autoFill="0" autoLine="0" autoPict="0">
            <anchor moveWithCells="1">
              <from>
                <xdr:col>14</xdr:col>
                <xdr:colOff>333375</xdr:colOff>
                <xdr:row>10</xdr:row>
                <xdr:rowOff>161925</xdr:rowOff>
              </from>
              <to>
                <xdr:col>15</xdr:col>
                <xdr:colOff>152400</xdr:colOff>
                <xdr:row>12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8" r:id="rId36" name="Option Button 46">
          <controlPr locked="0" defaultSize="0" autoFill="0" autoLine="0" autoPict="0">
            <anchor moveWithCells="1">
              <from>
                <xdr:col>14</xdr:col>
                <xdr:colOff>333375</xdr:colOff>
                <xdr:row>11</xdr:row>
                <xdr:rowOff>161925</xdr:rowOff>
              </from>
              <to>
                <xdr:col>15</xdr:col>
                <xdr:colOff>152400</xdr:colOff>
                <xdr:row>13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9" r:id="rId37" name="Option Button 47">
          <controlPr locked="0" defaultSize="0" autoFill="0" autoLine="0" autoPict="0">
            <anchor moveWithCells="1">
              <from>
                <xdr:col>14</xdr:col>
                <xdr:colOff>333375</xdr:colOff>
                <xdr:row>12</xdr:row>
                <xdr:rowOff>161925</xdr:rowOff>
              </from>
              <to>
                <xdr:col>15</xdr:col>
                <xdr:colOff>152400</xdr:colOff>
                <xdr:row>14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0" r:id="rId38" name="Option Button 48">
          <controlPr locked="0" defaultSize="0" autoFill="0" autoLine="0" autoPict="0">
            <anchor moveWithCells="1">
              <from>
                <xdr:col>14</xdr:col>
                <xdr:colOff>333375</xdr:colOff>
                <xdr:row>13</xdr:row>
                <xdr:rowOff>161925</xdr:rowOff>
              </from>
              <to>
                <xdr:col>15</xdr:col>
                <xdr:colOff>152400</xdr:colOff>
                <xdr:row>15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1" r:id="rId39" name="Option Button 49">
          <controlPr locked="0" defaultSize="0" autoFill="0" autoLine="0" autoPict="0">
            <anchor moveWithCells="1">
              <from>
                <xdr:col>14</xdr:col>
                <xdr:colOff>333375</xdr:colOff>
                <xdr:row>14</xdr:row>
                <xdr:rowOff>161925</xdr:rowOff>
              </from>
              <to>
                <xdr:col>15</xdr:col>
                <xdr:colOff>152400</xdr:colOff>
                <xdr:row>16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2" r:id="rId40" name="Option Button 50">
          <controlPr locked="0" defaultSize="0" autoFill="0" autoLine="0" autoPict="0">
            <anchor moveWithCells="1">
              <from>
                <xdr:col>14</xdr:col>
                <xdr:colOff>333375</xdr:colOff>
                <xdr:row>15</xdr:row>
                <xdr:rowOff>161925</xdr:rowOff>
              </from>
              <to>
                <xdr:col>15</xdr:col>
                <xdr:colOff>152400</xdr:colOff>
                <xdr:row>17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3" r:id="rId41" name="Option Button 51">
          <controlPr locked="0" defaultSize="0" autoFill="0" autoLine="0" autoPict="0">
            <anchor moveWithCells="1">
              <from>
                <xdr:col>14</xdr:col>
                <xdr:colOff>333375</xdr:colOff>
                <xdr:row>16</xdr:row>
                <xdr:rowOff>161925</xdr:rowOff>
              </from>
              <to>
                <xdr:col>15</xdr:col>
                <xdr:colOff>152400</xdr:colOff>
                <xdr:row>18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4" r:id="rId42" name="Option Button 52">
          <controlPr locked="0" defaultSize="0" autoFill="0" autoLine="0" autoPict="0">
            <anchor moveWithCells="1">
              <from>
                <xdr:col>14</xdr:col>
                <xdr:colOff>333375</xdr:colOff>
                <xdr:row>17</xdr:row>
                <xdr:rowOff>161925</xdr:rowOff>
              </from>
              <to>
                <xdr:col>15</xdr:col>
                <xdr:colOff>152400</xdr:colOff>
                <xdr:row>19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5" r:id="rId43" name="Option Button 53">
          <controlPr locked="0" defaultSize="0" autoFill="0" autoLine="0" autoPict="0">
            <anchor moveWithCells="1">
              <from>
                <xdr:col>14</xdr:col>
                <xdr:colOff>333375</xdr:colOff>
                <xdr:row>18</xdr:row>
                <xdr:rowOff>161925</xdr:rowOff>
              </from>
              <to>
                <xdr:col>15</xdr:col>
                <xdr:colOff>152400</xdr:colOff>
                <xdr:row>20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6" r:id="rId44" name="Option Button 54">
          <controlPr locked="0" defaultSize="0" autoFill="0" autoLine="0" autoPict="0">
            <anchor moveWithCells="1">
              <from>
                <xdr:col>14</xdr:col>
                <xdr:colOff>333375</xdr:colOff>
                <xdr:row>19</xdr:row>
                <xdr:rowOff>161925</xdr:rowOff>
              </from>
              <to>
                <xdr:col>15</xdr:col>
                <xdr:colOff>152400</xdr:colOff>
                <xdr:row>21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8" r:id="rId45" name="Check Box 56">
          <controlPr locked="0" defaultSize="0" autoFill="0" autoLine="0" autoPict="0">
            <anchor moveWithCells="1">
              <from>
                <xdr:col>13</xdr:col>
                <xdr:colOff>257175</xdr:colOff>
                <xdr:row>13</xdr:row>
                <xdr:rowOff>9525</xdr:rowOff>
              </from>
              <to>
                <xdr:col>14</xdr:col>
                <xdr:colOff>66675</xdr:colOff>
                <xdr:row>14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9" r:id="rId46" name="Check Box 57">
          <controlPr locked="0" defaultSize="0" autoFill="0" autoLine="0" autoPict="0">
            <anchor moveWithCells="1">
              <from>
                <xdr:col>13</xdr:col>
                <xdr:colOff>257175</xdr:colOff>
                <xdr:row>15</xdr:row>
                <xdr:rowOff>9525</xdr:rowOff>
              </from>
              <to>
                <xdr:col>14</xdr:col>
                <xdr:colOff>66675</xdr:colOff>
                <xdr:row>16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0" r:id="rId47" name="Check Box 58">
          <controlPr locked="0" defaultSize="0" autoFill="0" autoLine="0" autoPict="0">
            <anchor moveWithCells="1">
              <from>
                <xdr:col>13</xdr:col>
                <xdr:colOff>257175</xdr:colOff>
                <xdr:row>16</xdr:row>
                <xdr:rowOff>9525</xdr:rowOff>
              </from>
              <to>
                <xdr:col>14</xdr:col>
                <xdr:colOff>66675</xdr:colOff>
                <xdr:row>17</xdr:row>
                <xdr:rowOff>57150</xdr:rowOff>
              </to>
            </anchor>
          </controlPr>
        </control>
      </mc:Choice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9C9B9D2-7047-4758-BE95-14E9CEBAB7AF}">
            <xm:f>'Step 1 - Load Sizing'!$S$19=0</xm:f>
            <x14:dxf>
              <font>
                <color theme="0"/>
              </font>
              <fill>
                <patternFill patternType="solid">
                  <bgColor theme="0"/>
                </patternFill>
              </fill>
            </x14:dxf>
          </x14:cfRule>
          <xm:sqref>J22:N22</xm:sqref>
        </x14:conditionalFormatting>
        <x14:conditionalFormatting xmlns:xm="http://schemas.microsoft.com/office/excel/2006/main">
          <x14:cfRule type="expression" priority="1" id="{3B0B6A30-1A54-4B7E-97E5-46C528EB15A3}">
            <xm:f>'Step 1 - Load Sizing'!W8</xm:f>
            <x14:dxf>
              <fill>
                <patternFill>
                  <bgColor theme="7" tint="0.39994506668294322"/>
                </patternFill>
              </fill>
            </x14:dxf>
          </x14:cfRule>
          <xm:sqref>K12:L21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K1511"/>
  <sheetViews>
    <sheetView showGridLines="0" zoomScale="75" zoomScaleNormal="75" zoomScaleSheetLayoutView="100" workbookViewId="0">
      <pane ySplit="4" topLeftCell="A18" activePane="bottomLeft" state="frozen"/>
      <selection activeCell="A33" sqref="A33:XFD42"/>
      <selection pane="bottomLeft" activeCell="E30" sqref="E30"/>
    </sheetView>
  </sheetViews>
  <sheetFormatPr defaultColWidth="8.7109375" defaultRowHeight="15" x14ac:dyDescent="0.25"/>
  <cols>
    <col min="1" max="4" width="10.140625" customWidth="1"/>
    <col min="5" max="5" width="11.5703125" customWidth="1"/>
    <col min="6" max="11" width="10.140625" customWidth="1"/>
    <col min="12" max="12" width="9.140625" customWidth="1"/>
    <col min="13" max="13" width="6.5703125" customWidth="1"/>
    <col min="14" max="19" width="10.140625" customWidth="1"/>
    <col min="20" max="20" width="3.7109375" customWidth="1"/>
    <col min="21" max="28" width="10.140625" customWidth="1"/>
    <col min="29" max="29" width="0.42578125" customWidth="1"/>
    <col min="30" max="42" width="10.140625" customWidth="1"/>
    <col min="43" max="44" width="8.7109375" customWidth="1"/>
    <col min="45" max="45" width="3.7109375" customWidth="1"/>
    <col min="46" max="59" width="8.7109375" customWidth="1"/>
    <col min="60" max="60" width="6.140625" customWidth="1"/>
    <col min="61" max="66" width="8.7109375" customWidth="1"/>
    <col min="67" max="67" width="15.140625" customWidth="1"/>
    <col min="68" max="68" width="20.5703125" customWidth="1"/>
    <col min="69" max="69" width="8.7109375" customWidth="1"/>
    <col min="70" max="70" width="10.5703125" customWidth="1"/>
    <col min="71" max="71" width="18.5703125" customWidth="1"/>
    <col min="72" max="72" width="14.42578125" customWidth="1"/>
    <col min="73" max="73" width="13.5703125" customWidth="1"/>
    <col min="74" max="74" width="12.42578125" customWidth="1"/>
    <col min="75" max="75" width="7.42578125" customWidth="1"/>
    <col min="76" max="76" width="17.85546875" customWidth="1"/>
    <col min="77" max="77" width="18.140625" customWidth="1"/>
    <col min="78" max="78" width="18.42578125" customWidth="1"/>
    <col min="79" max="79" width="19.28515625" customWidth="1"/>
    <col min="80" max="80" width="20.42578125" customWidth="1"/>
    <col min="81" max="81" width="35.140625" customWidth="1"/>
    <col min="82" max="82" width="11.85546875" customWidth="1"/>
    <col min="83" max="83" width="6.5703125" customWidth="1"/>
    <col min="84" max="84" width="7.85546875" customWidth="1"/>
    <col min="85" max="85" width="7.5703125" customWidth="1"/>
    <col min="87" max="87" width="7.85546875" customWidth="1"/>
    <col min="257" max="260" width="10.140625" customWidth="1"/>
    <col min="261" max="261" width="11.5703125" customWidth="1"/>
    <col min="262" max="267" width="10.140625" customWidth="1"/>
    <col min="268" max="268" width="9.140625" customWidth="1"/>
    <col min="269" max="269" width="6.5703125" customWidth="1"/>
    <col min="270" max="275" width="10.140625" customWidth="1"/>
    <col min="276" max="276" width="3.7109375" customWidth="1"/>
    <col min="277" max="284" width="10.140625" customWidth="1"/>
    <col min="285" max="285" width="0.42578125" customWidth="1"/>
    <col min="286" max="298" width="10.140625" customWidth="1"/>
    <col min="301" max="301" width="3.7109375" customWidth="1"/>
    <col min="316" max="316" width="6.140625" customWidth="1"/>
    <col min="323" max="323" width="15.140625" customWidth="1"/>
    <col min="324" max="324" width="20.5703125" customWidth="1"/>
    <col min="326" max="326" width="10.5703125" customWidth="1"/>
    <col min="327" max="327" width="18.5703125" customWidth="1"/>
    <col min="328" max="328" width="14.42578125" customWidth="1"/>
    <col min="329" max="329" width="13.5703125" customWidth="1"/>
    <col min="330" max="330" width="12.42578125" customWidth="1"/>
    <col min="331" max="331" width="7.42578125" customWidth="1"/>
    <col min="332" max="332" width="17.85546875" customWidth="1"/>
    <col min="333" max="333" width="18.140625" customWidth="1"/>
    <col min="334" max="334" width="18.42578125" customWidth="1"/>
    <col min="335" max="335" width="19.28515625" customWidth="1"/>
    <col min="336" max="336" width="20.42578125" customWidth="1"/>
    <col min="337" max="337" width="35.140625" customWidth="1"/>
    <col min="338" max="338" width="11.85546875" customWidth="1"/>
    <col min="339" max="339" width="6.5703125" customWidth="1"/>
    <col min="340" max="340" width="7.85546875" customWidth="1"/>
    <col min="341" max="341" width="7.5703125" customWidth="1"/>
    <col min="343" max="343" width="7.85546875" customWidth="1"/>
    <col min="513" max="516" width="10.140625" customWidth="1"/>
    <col min="517" max="517" width="11.5703125" customWidth="1"/>
    <col min="518" max="523" width="10.140625" customWidth="1"/>
    <col min="524" max="524" width="9.140625" customWidth="1"/>
    <col min="525" max="525" width="6.5703125" customWidth="1"/>
    <col min="526" max="531" width="10.140625" customWidth="1"/>
    <col min="532" max="532" width="3.7109375" customWidth="1"/>
    <col min="533" max="540" width="10.140625" customWidth="1"/>
    <col min="541" max="541" width="0.42578125" customWidth="1"/>
    <col min="542" max="554" width="10.140625" customWidth="1"/>
    <col min="557" max="557" width="3.7109375" customWidth="1"/>
    <col min="572" max="572" width="6.140625" customWidth="1"/>
    <col min="579" max="579" width="15.140625" customWidth="1"/>
    <col min="580" max="580" width="20.5703125" customWidth="1"/>
    <col min="582" max="582" width="10.5703125" customWidth="1"/>
    <col min="583" max="583" width="18.5703125" customWidth="1"/>
    <col min="584" max="584" width="14.42578125" customWidth="1"/>
    <col min="585" max="585" width="13.5703125" customWidth="1"/>
    <col min="586" max="586" width="12.42578125" customWidth="1"/>
    <col min="587" max="587" width="7.42578125" customWidth="1"/>
    <col min="588" max="588" width="17.85546875" customWidth="1"/>
    <col min="589" max="589" width="18.140625" customWidth="1"/>
    <col min="590" max="590" width="18.42578125" customWidth="1"/>
    <col min="591" max="591" width="19.28515625" customWidth="1"/>
    <col min="592" max="592" width="20.42578125" customWidth="1"/>
    <col min="593" max="593" width="35.140625" customWidth="1"/>
    <col min="594" max="594" width="11.85546875" customWidth="1"/>
    <col min="595" max="595" width="6.5703125" customWidth="1"/>
    <col min="596" max="596" width="7.85546875" customWidth="1"/>
    <col min="597" max="597" width="7.5703125" customWidth="1"/>
    <col min="599" max="599" width="7.85546875" customWidth="1"/>
    <col min="769" max="772" width="10.140625" customWidth="1"/>
    <col min="773" max="773" width="11.5703125" customWidth="1"/>
    <col min="774" max="779" width="10.140625" customWidth="1"/>
    <col min="780" max="780" width="9.140625" customWidth="1"/>
    <col min="781" max="781" width="6.5703125" customWidth="1"/>
    <col min="782" max="787" width="10.140625" customWidth="1"/>
    <col min="788" max="788" width="3.7109375" customWidth="1"/>
    <col min="789" max="796" width="10.140625" customWidth="1"/>
    <col min="797" max="797" width="0.42578125" customWidth="1"/>
    <col min="798" max="810" width="10.140625" customWidth="1"/>
    <col min="813" max="813" width="3.7109375" customWidth="1"/>
    <col min="828" max="828" width="6.140625" customWidth="1"/>
    <col min="835" max="835" width="15.140625" customWidth="1"/>
    <col min="836" max="836" width="20.5703125" customWidth="1"/>
    <col min="838" max="838" width="10.5703125" customWidth="1"/>
    <col min="839" max="839" width="18.5703125" customWidth="1"/>
    <col min="840" max="840" width="14.42578125" customWidth="1"/>
    <col min="841" max="841" width="13.5703125" customWidth="1"/>
    <col min="842" max="842" width="12.42578125" customWidth="1"/>
    <col min="843" max="843" width="7.42578125" customWidth="1"/>
    <col min="844" max="844" width="17.85546875" customWidth="1"/>
    <col min="845" max="845" width="18.140625" customWidth="1"/>
    <col min="846" max="846" width="18.42578125" customWidth="1"/>
    <col min="847" max="847" width="19.28515625" customWidth="1"/>
    <col min="848" max="848" width="20.42578125" customWidth="1"/>
    <col min="849" max="849" width="35.140625" customWidth="1"/>
    <col min="850" max="850" width="11.85546875" customWidth="1"/>
    <col min="851" max="851" width="6.5703125" customWidth="1"/>
    <col min="852" max="852" width="7.85546875" customWidth="1"/>
    <col min="853" max="853" width="7.5703125" customWidth="1"/>
    <col min="855" max="855" width="7.85546875" customWidth="1"/>
    <col min="1025" max="1028" width="10.140625" customWidth="1"/>
    <col min="1029" max="1029" width="11.5703125" customWidth="1"/>
    <col min="1030" max="1035" width="10.140625" customWidth="1"/>
    <col min="1036" max="1036" width="9.140625" customWidth="1"/>
    <col min="1037" max="1037" width="6.5703125" customWidth="1"/>
    <col min="1038" max="1043" width="10.140625" customWidth="1"/>
    <col min="1044" max="1044" width="3.7109375" customWidth="1"/>
    <col min="1045" max="1052" width="10.140625" customWidth="1"/>
    <col min="1053" max="1053" width="0.42578125" customWidth="1"/>
    <col min="1054" max="1066" width="10.140625" customWidth="1"/>
    <col min="1069" max="1069" width="3.7109375" customWidth="1"/>
    <col min="1084" max="1084" width="6.140625" customWidth="1"/>
    <col min="1091" max="1091" width="15.140625" customWidth="1"/>
    <col min="1092" max="1092" width="20.5703125" customWidth="1"/>
    <col min="1094" max="1094" width="10.5703125" customWidth="1"/>
    <col min="1095" max="1095" width="18.5703125" customWidth="1"/>
    <col min="1096" max="1096" width="14.42578125" customWidth="1"/>
    <col min="1097" max="1097" width="13.5703125" customWidth="1"/>
    <col min="1098" max="1098" width="12.42578125" customWidth="1"/>
    <col min="1099" max="1099" width="7.42578125" customWidth="1"/>
    <col min="1100" max="1100" width="17.85546875" customWidth="1"/>
    <col min="1101" max="1101" width="18.140625" customWidth="1"/>
    <col min="1102" max="1102" width="18.42578125" customWidth="1"/>
    <col min="1103" max="1103" width="19.28515625" customWidth="1"/>
    <col min="1104" max="1104" width="20.42578125" customWidth="1"/>
    <col min="1105" max="1105" width="35.140625" customWidth="1"/>
    <col min="1106" max="1106" width="11.85546875" customWidth="1"/>
    <col min="1107" max="1107" width="6.5703125" customWidth="1"/>
    <col min="1108" max="1108" width="7.85546875" customWidth="1"/>
    <col min="1109" max="1109" width="7.5703125" customWidth="1"/>
    <col min="1111" max="1111" width="7.85546875" customWidth="1"/>
    <col min="1281" max="1284" width="10.140625" customWidth="1"/>
    <col min="1285" max="1285" width="11.5703125" customWidth="1"/>
    <col min="1286" max="1291" width="10.140625" customWidth="1"/>
    <col min="1292" max="1292" width="9.140625" customWidth="1"/>
    <col min="1293" max="1293" width="6.5703125" customWidth="1"/>
    <col min="1294" max="1299" width="10.140625" customWidth="1"/>
    <col min="1300" max="1300" width="3.7109375" customWidth="1"/>
    <col min="1301" max="1308" width="10.140625" customWidth="1"/>
    <col min="1309" max="1309" width="0.42578125" customWidth="1"/>
    <col min="1310" max="1322" width="10.140625" customWidth="1"/>
    <col min="1325" max="1325" width="3.7109375" customWidth="1"/>
    <col min="1340" max="1340" width="6.140625" customWidth="1"/>
    <col min="1347" max="1347" width="15.140625" customWidth="1"/>
    <col min="1348" max="1348" width="20.5703125" customWidth="1"/>
    <col min="1350" max="1350" width="10.5703125" customWidth="1"/>
    <col min="1351" max="1351" width="18.5703125" customWidth="1"/>
    <col min="1352" max="1352" width="14.42578125" customWidth="1"/>
    <col min="1353" max="1353" width="13.5703125" customWidth="1"/>
    <col min="1354" max="1354" width="12.42578125" customWidth="1"/>
    <col min="1355" max="1355" width="7.42578125" customWidth="1"/>
    <col min="1356" max="1356" width="17.85546875" customWidth="1"/>
    <col min="1357" max="1357" width="18.140625" customWidth="1"/>
    <col min="1358" max="1358" width="18.42578125" customWidth="1"/>
    <col min="1359" max="1359" width="19.28515625" customWidth="1"/>
    <col min="1360" max="1360" width="20.42578125" customWidth="1"/>
    <col min="1361" max="1361" width="35.140625" customWidth="1"/>
    <col min="1362" max="1362" width="11.85546875" customWidth="1"/>
    <col min="1363" max="1363" width="6.5703125" customWidth="1"/>
    <col min="1364" max="1364" width="7.85546875" customWidth="1"/>
    <col min="1365" max="1365" width="7.5703125" customWidth="1"/>
    <col min="1367" max="1367" width="7.85546875" customWidth="1"/>
    <col min="1537" max="1540" width="10.140625" customWidth="1"/>
    <col min="1541" max="1541" width="11.5703125" customWidth="1"/>
    <col min="1542" max="1547" width="10.140625" customWidth="1"/>
    <col min="1548" max="1548" width="9.140625" customWidth="1"/>
    <col min="1549" max="1549" width="6.5703125" customWidth="1"/>
    <col min="1550" max="1555" width="10.140625" customWidth="1"/>
    <col min="1556" max="1556" width="3.7109375" customWidth="1"/>
    <col min="1557" max="1564" width="10.140625" customWidth="1"/>
    <col min="1565" max="1565" width="0.42578125" customWidth="1"/>
    <col min="1566" max="1578" width="10.140625" customWidth="1"/>
    <col min="1581" max="1581" width="3.7109375" customWidth="1"/>
    <col min="1596" max="1596" width="6.140625" customWidth="1"/>
    <col min="1603" max="1603" width="15.140625" customWidth="1"/>
    <col min="1604" max="1604" width="20.5703125" customWidth="1"/>
    <col min="1606" max="1606" width="10.5703125" customWidth="1"/>
    <col min="1607" max="1607" width="18.5703125" customWidth="1"/>
    <col min="1608" max="1608" width="14.42578125" customWidth="1"/>
    <col min="1609" max="1609" width="13.5703125" customWidth="1"/>
    <col min="1610" max="1610" width="12.42578125" customWidth="1"/>
    <col min="1611" max="1611" width="7.42578125" customWidth="1"/>
    <col min="1612" max="1612" width="17.85546875" customWidth="1"/>
    <col min="1613" max="1613" width="18.140625" customWidth="1"/>
    <col min="1614" max="1614" width="18.42578125" customWidth="1"/>
    <col min="1615" max="1615" width="19.28515625" customWidth="1"/>
    <col min="1616" max="1616" width="20.42578125" customWidth="1"/>
    <col min="1617" max="1617" width="35.140625" customWidth="1"/>
    <col min="1618" max="1618" width="11.85546875" customWidth="1"/>
    <col min="1619" max="1619" width="6.5703125" customWidth="1"/>
    <col min="1620" max="1620" width="7.85546875" customWidth="1"/>
    <col min="1621" max="1621" width="7.5703125" customWidth="1"/>
    <col min="1623" max="1623" width="7.85546875" customWidth="1"/>
    <col min="1793" max="1796" width="10.140625" customWidth="1"/>
    <col min="1797" max="1797" width="11.5703125" customWidth="1"/>
    <col min="1798" max="1803" width="10.140625" customWidth="1"/>
    <col min="1804" max="1804" width="9.140625" customWidth="1"/>
    <col min="1805" max="1805" width="6.5703125" customWidth="1"/>
    <col min="1806" max="1811" width="10.140625" customWidth="1"/>
    <col min="1812" max="1812" width="3.7109375" customWidth="1"/>
    <col min="1813" max="1820" width="10.140625" customWidth="1"/>
    <col min="1821" max="1821" width="0.42578125" customWidth="1"/>
    <col min="1822" max="1834" width="10.140625" customWidth="1"/>
    <col min="1837" max="1837" width="3.7109375" customWidth="1"/>
    <col min="1852" max="1852" width="6.140625" customWidth="1"/>
    <col min="1859" max="1859" width="15.140625" customWidth="1"/>
    <col min="1860" max="1860" width="20.5703125" customWidth="1"/>
    <col min="1862" max="1862" width="10.5703125" customWidth="1"/>
    <col min="1863" max="1863" width="18.5703125" customWidth="1"/>
    <col min="1864" max="1864" width="14.42578125" customWidth="1"/>
    <col min="1865" max="1865" width="13.5703125" customWidth="1"/>
    <col min="1866" max="1866" width="12.42578125" customWidth="1"/>
    <col min="1867" max="1867" width="7.42578125" customWidth="1"/>
    <col min="1868" max="1868" width="17.85546875" customWidth="1"/>
    <col min="1869" max="1869" width="18.140625" customWidth="1"/>
    <col min="1870" max="1870" width="18.42578125" customWidth="1"/>
    <col min="1871" max="1871" width="19.28515625" customWidth="1"/>
    <col min="1872" max="1872" width="20.42578125" customWidth="1"/>
    <col min="1873" max="1873" width="35.140625" customWidth="1"/>
    <col min="1874" max="1874" width="11.85546875" customWidth="1"/>
    <col min="1875" max="1875" width="6.5703125" customWidth="1"/>
    <col min="1876" max="1876" width="7.85546875" customWidth="1"/>
    <col min="1877" max="1877" width="7.5703125" customWidth="1"/>
    <col min="1879" max="1879" width="7.85546875" customWidth="1"/>
    <col min="2049" max="2052" width="10.140625" customWidth="1"/>
    <col min="2053" max="2053" width="11.5703125" customWidth="1"/>
    <col min="2054" max="2059" width="10.140625" customWidth="1"/>
    <col min="2060" max="2060" width="9.140625" customWidth="1"/>
    <col min="2061" max="2061" width="6.5703125" customWidth="1"/>
    <col min="2062" max="2067" width="10.140625" customWidth="1"/>
    <col min="2068" max="2068" width="3.7109375" customWidth="1"/>
    <col min="2069" max="2076" width="10.140625" customWidth="1"/>
    <col min="2077" max="2077" width="0.42578125" customWidth="1"/>
    <col min="2078" max="2090" width="10.140625" customWidth="1"/>
    <col min="2093" max="2093" width="3.7109375" customWidth="1"/>
    <col min="2108" max="2108" width="6.140625" customWidth="1"/>
    <col min="2115" max="2115" width="15.140625" customWidth="1"/>
    <col min="2116" max="2116" width="20.5703125" customWidth="1"/>
    <col min="2118" max="2118" width="10.5703125" customWidth="1"/>
    <col min="2119" max="2119" width="18.5703125" customWidth="1"/>
    <col min="2120" max="2120" width="14.42578125" customWidth="1"/>
    <col min="2121" max="2121" width="13.5703125" customWidth="1"/>
    <col min="2122" max="2122" width="12.42578125" customWidth="1"/>
    <col min="2123" max="2123" width="7.42578125" customWidth="1"/>
    <col min="2124" max="2124" width="17.85546875" customWidth="1"/>
    <col min="2125" max="2125" width="18.140625" customWidth="1"/>
    <col min="2126" max="2126" width="18.42578125" customWidth="1"/>
    <col min="2127" max="2127" width="19.28515625" customWidth="1"/>
    <col min="2128" max="2128" width="20.42578125" customWidth="1"/>
    <col min="2129" max="2129" width="35.140625" customWidth="1"/>
    <col min="2130" max="2130" width="11.85546875" customWidth="1"/>
    <col min="2131" max="2131" width="6.5703125" customWidth="1"/>
    <col min="2132" max="2132" width="7.85546875" customWidth="1"/>
    <col min="2133" max="2133" width="7.5703125" customWidth="1"/>
    <col min="2135" max="2135" width="7.85546875" customWidth="1"/>
    <col min="2305" max="2308" width="10.140625" customWidth="1"/>
    <col min="2309" max="2309" width="11.5703125" customWidth="1"/>
    <col min="2310" max="2315" width="10.140625" customWidth="1"/>
    <col min="2316" max="2316" width="9.140625" customWidth="1"/>
    <col min="2317" max="2317" width="6.5703125" customWidth="1"/>
    <col min="2318" max="2323" width="10.140625" customWidth="1"/>
    <col min="2324" max="2324" width="3.7109375" customWidth="1"/>
    <col min="2325" max="2332" width="10.140625" customWidth="1"/>
    <col min="2333" max="2333" width="0.42578125" customWidth="1"/>
    <col min="2334" max="2346" width="10.140625" customWidth="1"/>
    <col min="2349" max="2349" width="3.7109375" customWidth="1"/>
    <col min="2364" max="2364" width="6.140625" customWidth="1"/>
    <col min="2371" max="2371" width="15.140625" customWidth="1"/>
    <col min="2372" max="2372" width="20.5703125" customWidth="1"/>
    <col min="2374" max="2374" width="10.5703125" customWidth="1"/>
    <col min="2375" max="2375" width="18.5703125" customWidth="1"/>
    <col min="2376" max="2376" width="14.42578125" customWidth="1"/>
    <col min="2377" max="2377" width="13.5703125" customWidth="1"/>
    <col min="2378" max="2378" width="12.42578125" customWidth="1"/>
    <col min="2379" max="2379" width="7.42578125" customWidth="1"/>
    <col min="2380" max="2380" width="17.85546875" customWidth="1"/>
    <col min="2381" max="2381" width="18.140625" customWidth="1"/>
    <col min="2382" max="2382" width="18.42578125" customWidth="1"/>
    <col min="2383" max="2383" width="19.28515625" customWidth="1"/>
    <col min="2384" max="2384" width="20.42578125" customWidth="1"/>
    <col min="2385" max="2385" width="35.140625" customWidth="1"/>
    <col min="2386" max="2386" width="11.85546875" customWidth="1"/>
    <col min="2387" max="2387" width="6.5703125" customWidth="1"/>
    <col min="2388" max="2388" width="7.85546875" customWidth="1"/>
    <col min="2389" max="2389" width="7.5703125" customWidth="1"/>
    <col min="2391" max="2391" width="7.85546875" customWidth="1"/>
    <col min="2561" max="2564" width="10.140625" customWidth="1"/>
    <col min="2565" max="2565" width="11.5703125" customWidth="1"/>
    <col min="2566" max="2571" width="10.140625" customWidth="1"/>
    <col min="2572" max="2572" width="9.140625" customWidth="1"/>
    <col min="2573" max="2573" width="6.5703125" customWidth="1"/>
    <col min="2574" max="2579" width="10.140625" customWidth="1"/>
    <col min="2580" max="2580" width="3.7109375" customWidth="1"/>
    <col min="2581" max="2588" width="10.140625" customWidth="1"/>
    <col min="2589" max="2589" width="0.42578125" customWidth="1"/>
    <col min="2590" max="2602" width="10.140625" customWidth="1"/>
    <col min="2605" max="2605" width="3.7109375" customWidth="1"/>
    <col min="2620" max="2620" width="6.140625" customWidth="1"/>
    <col min="2627" max="2627" width="15.140625" customWidth="1"/>
    <col min="2628" max="2628" width="20.5703125" customWidth="1"/>
    <col min="2630" max="2630" width="10.5703125" customWidth="1"/>
    <col min="2631" max="2631" width="18.5703125" customWidth="1"/>
    <col min="2632" max="2632" width="14.42578125" customWidth="1"/>
    <col min="2633" max="2633" width="13.5703125" customWidth="1"/>
    <col min="2634" max="2634" width="12.42578125" customWidth="1"/>
    <col min="2635" max="2635" width="7.42578125" customWidth="1"/>
    <col min="2636" max="2636" width="17.85546875" customWidth="1"/>
    <col min="2637" max="2637" width="18.140625" customWidth="1"/>
    <col min="2638" max="2638" width="18.42578125" customWidth="1"/>
    <col min="2639" max="2639" width="19.28515625" customWidth="1"/>
    <col min="2640" max="2640" width="20.42578125" customWidth="1"/>
    <col min="2641" max="2641" width="35.140625" customWidth="1"/>
    <col min="2642" max="2642" width="11.85546875" customWidth="1"/>
    <col min="2643" max="2643" width="6.5703125" customWidth="1"/>
    <col min="2644" max="2644" width="7.85546875" customWidth="1"/>
    <col min="2645" max="2645" width="7.5703125" customWidth="1"/>
    <col min="2647" max="2647" width="7.85546875" customWidth="1"/>
    <col min="2817" max="2820" width="10.140625" customWidth="1"/>
    <col min="2821" max="2821" width="11.5703125" customWidth="1"/>
    <col min="2822" max="2827" width="10.140625" customWidth="1"/>
    <col min="2828" max="2828" width="9.140625" customWidth="1"/>
    <col min="2829" max="2829" width="6.5703125" customWidth="1"/>
    <col min="2830" max="2835" width="10.140625" customWidth="1"/>
    <col min="2836" max="2836" width="3.7109375" customWidth="1"/>
    <col min="2837" max="2844" width="10.140625" customWidth="1"/>
    <col min="2845" max="2845" width="0.42578125" customWidth="1"/>
    <col min="2846" max="2858" width="10.140625" customWidth="1"/>
    <col min="2861" max="2861" width="3.7109375" customWidth="1"/>
    <col min="2876" max="2876" width="6.140625" customWidth="1"/>
    <col min="2883" max="2883" width="15.140625" customWidth="1"/>
    <col min="2884" max="2884" width="20.5703125" customWidth="1"/>
    <col min="2886" max="2886" width="10.5703125" customWidth="1"/>
    <col min="2887" max="2887" width="18.5703125" customWidth="1"/>
    <col min="2888" max="2888" width="14.42578125" customWidth="1"/>
    <col min="2889" max="2889" width="13.5703125" customWidth="1"/>
    <col min="2890" max="2890" width="12.42578125" customWidth="1"/>
    <col min="2891" max="2891" width="7.42578125" customWidth="1"/>
    <col min="2892" max="2892" width="17.85546875" customWidth="1"/>
    <col min="2893" max="2893" width="18.140625" customWidth="1"/>
    <col min="2894" max="2894" width="18.42578125" customWidth="1"/>
    <col min="2895" max="2895" width="19.28515625" customWidth="1"/>
    <col min="2896" max="2896" width="20.42578125" customWidth="1"/>
    <col min="2897" max="2897" width="35.140625" customWidth="1"/>
    <col min="2898" max="2898" width="11.85546875" customWidth="1"/>
    <col min="2899" max="2899" width="6.5703125" customWidth="1"/>
    <col min="2900" max="2900" width="7.85546875" customWidth="1"/>
    <col min="2901" max="2901" width="7.5703125" customWidth="1"/>
    <col min="2903" max="2903" width="7.85546875" customWidth="1"/>
    <col min="3073" max="3076" width="10.140625" customWidth="1"/>
    <col min="3077" max="3077" width="11.5703125" customWidth="1"/>
    <col min="3078" max="3083" width="10.140625" customWidth="1"/>
    <col min="3084" max="3084" width="9.140625" customWidth="1"/>
    <col min="3085" max="3085" width="6.5703125" customWidth="1"/>
    <col min="3086" max="3091" width="10.140625" customWidth="1"/>
    <col min="3092" max="3092" width="3.7109375" customWidth="1"/>
    <col min="3093" max="3100" width="10.140625" customWidth="1"/>
    <col min="3101" max="3101" width="0.42578125" customWidth="1"/>
    <col min="3102" max="3114" width="10.140625" customWidth="1"/>
    <col min="3117" max="3117" width="3.7109375" customWidth="1"/>
    <col min="3132" max="3132" width="6.140625" customWidth="1"/>
    <col min="3139" max="3139" width="15.140625" customWidth="1"/>
    <col min="3140" max="3140" width="20.5703125" customWidth="1"/>
    <col min="3142" max="3142" width="10.5703125" customWidth="1"/>
    <col min="3143" max="3143" width="18.5703125" customWidth="1"/>
    <col min="3144" max="3144" width="14.42578125" customWidth="1"/>
    <col min="3145" max="3145" width="13.5703125" customWidth="1"/>
    <col min="3146" max="3146" width="12.42578125" customWidth="1"/>
    <col min="3147" max="3147" width="7.42578125" customWidth="1"/>
    <col min="3148" max="3148" width="17.85546875" customWidth="1"/>
    <col min="3149" max="3149" width="18.140625" customWidth="1"/>
    <col min="3150" max="3150" width="18.42578125" customWidth="1"/>
    <col min="3151" max="3151" width="19.28515625" customWidth="1"/>
    <col min="3152" max="3152" width="20.42578125" customWidth="1"/>
    <col min="3153" max="3153" width="35.140625" customWidth="1"/>
    <col min="3154" max="3154" width="11.85546875" customWidth="1"/>
    <col min="3155" max="3155" width="6.5703125" customWidth="1"/>
    <col min="3156" max="3156" width="7.85546875" customWidth="1"/>
    <col min="3157" max="3157" width="7.5703125" customWidth="1"/>
    <col min="3159" max="3159" width="7.85546875" customWidth="1"/>
    <col min="3329" max="3332" width="10.140625" customWidth="1"/>
    <col min="3333" max="3333" width="11.5703125" customWidth="1"/>
    <col min="3334" max="3339" width="10.140625" customWidth="1"/>
    <col min="3340" max="3340" width="9.140625" customWidth="1"/>
    <col min="3341" max="3341" width="6.5703125" customWidth="1"/>
    <col min="3342" max="3347" width="10.140625" customWidth="1"/>
    <col min="3348" max="3348" width="3.7109375" customWidth="1"/>
    <col min="3349" max="3356" width="10.140625" customWidth="1"/>
    <col min="3357" max="3357" width="0.42578125" customWidth="1"/>
    <col min="3358" max="3370" width="10.140625" customWidth="1"/>
    <col min="3373" max="3373" width="3.7109375" customWidth="1"/>
    <col min="3388" max="3388" width="6.140625" customWidth="1"/>
    <col min="3395" max="3395" width="15.140625" customWidth="1"/>
    <col min="3396" max="3396" width="20.5703125" customWidth="1"/>
    <col min="3398" max="3398" width="10.5703125" customWidth="1"/>
    <col min="3399" max="3399" width="18.5703125" customWidth="1"/>
    <col min="3400" max="3400" width="14.42578125" customWidth="1"/>
    <col min="3401" max="3401" width="13.5703125" customWidth="1"/>
    <col min="3402" max="3402" width="12.42578125" customWidth="1"/>
    <col min="3403" max="3403" width="7.42578125" customWidth="1"/>
    <col min="3404" max="3404" width="17.85546875" customWidth="1"/>
    <col min="3405" max="3405" width="18.140625" customWidth="1"/>
    <col min="3406" max="3406" width="18.42578125" customWidth="1"/>
    <col min="3407" max="3407" width="19.28515625" customWidth="1"/>
    <col min="3408" max="3408" width="20.42578125" customWidth="1"/>
    <col min="3409" max="3409" width="35.140625" customWidth="1"/>
    <col min="3410" max="3410" width="11.85546875" customWidth="1"/>
    <col min="3411" max="3411" width="6.5703125" customWidth="1"/>
    <col min="3412" max="3412" width="7.85546875" customWidth="1"/>
    <col min="3413" max="3413" width="7.5703125" customWidth="1"/>
    <col min="3415" max="3415" width="7.85546875" customWidth="1"/>
    <col min="3585" max="3588" width="10.140625" customWidth="1"/>
    <col min="3589" max="3589" width="11.5703125" customWidth="1"/>
    <col min="3590" max="3595" width="10.140625" customWidth="1"/>
    <col min="3596" max="3596" width="9.140625" customWidth="1"/>
    <col min="3597" max="3597" width="6.5703125" customWidth="1"/>
    <col min="3598" max="3603" width="10.140625" customWidth="1"/>
    <col min="3604" max="3604" width="3.7109375" customWidth="1"/>
    <col min="3605" max="3612" width="10.140625" customWidth="1"/>
    <col min="3613" max="3613" width="0.42578125" customWidth="1"/>
    <col min="3614" max="3626" width="10.140625" customWidth="1"/>
    <col min="3629" max="3629" width="3.7109375" customWidth="1"/>
    <col min="3644" max="3644" width="6.140625" customWidth="1"/>
    <col min="3651" max="3651" width="15.140625" customWidth="1"/>
    <col min="3652" max="3652" width="20.5703125" customWidth="1"/>
    <col min="3654" max="3654" width="10.5703125" customWidth="1"/>
    <col min="3655" max="3655" width="18.5703125" customWidth="1"/>
    <col min="3656" max="3656" width="14.42578125" customWidth="1"/>
    <col min="3657" max="3657" width="13.5703125" customWidth="1"/>
    <col min="3658" max="3658" width="12.42578125" customWidth="1"/>
    <col min="3659" max="3659" width="7.42578125" customWidth="1"/>
    <col min="3660" max="3660" width="17.85546875" customWidth="1"/>
    <col min="3661" max="3661" width="18.140625" customWidth="1"/>
    <col min="3662" max="3662" width="18.42578125" customWidth="1"/>
    <col min="3663" max="3663" width="19.28515625" customWidth="1"/>
    <col min="3664" max="3664" width="20.42578125" customWidth="1"/>
    <col min="3665" max="3665" width="35.140625" customWidth="1"/>
    <col min="3666" max="3666" width="11.85546875" customWidth="1"/>
    <col min="3667" max="3667" width="6.5703125" customWidth="1"/>
    <col min="3668" max="3668" width="7.85546875" customWidth="1"/>
    <col min="3669" max="3669" width="7.5703125" customWidth="1"/>
    <col min="3671" max="3671" width="7.85546875" customWidth="1"/>
    <col min="3841" max="3844" width="10.140625" customWidth="1"/>
    <col min="3845" max="3845" width="11.5703125" customWidth="1"/>
    <col min="3846" max="3851" width="10.140625" customWidth="1"/>
    <col min="3852" max="3852" width="9.140625" customWidth="1"/>
    <col min="3853" max="3853" width="6.5703125" customWidth="1"/>
    <col min="3854" max="3859" width="10.140625" customWidth="1"/>
    <col min="3860" max="3860" width="3.7109375" customWidth="1"/>
    <col min="3861" max="3868" width="10.140625" customWidth="1"/>
    <col min="3869" max="3869" width="0.42578125" customWidth="1"/>
    <col min="3870" max="3882" width="10.140625" customWidth="1"/>
    <col min="3885" max="3885" width="3.7109375" customWidth="1"/>
    <col min="3900" max="3900" width="6.140625" customWidth="1"/>
    <col min="3907" max="3907" width="15.140625" customWidth="1"/>
    <col min="3908" max="3908" width="20.5703125" customWidth="1"/>
    <col min="3910" max="3910" width="10.5703125" customWidth="1"/>
    <col min="3911" max="3911" width="18.5703125" customWidth="1"/>
    <col min="3912" max="3912" width="14.42578125" customWidth="1"/>
    <col min="3913" max="3913" width="13.5703125" customWidth="1"/>
    <col min="3914" max="3914" width="12.42578125" customWidth="1"/>
    <col min="3915" max="3915" width="7.42578125" customWidth="1"/>
    <col min="3916" max="3916" width="17.85546875" customWidth="1"/>
    <col min="3917" max="3917" width="18.140625" customWidth="1"/>
    <col min="3918" max="3918" width="18.42578125" customWidth="1"/>
    <col min="3919" max="3919" width="19.28515625" customWidth="1"/>
    <col min="3920" max="3920" width="20.42578125" customWidth="1"/>
    <col min="3921" max="3921" width="35.140625" customWidth="1"/>
    <col min="3922" max="3922" width="11.85546875" customWidth="1"/>
    <col min="3923" max="3923" width="6.5703125" customWidth="1"/>
    <col min="3924" max="3924" width="7.85546875" customWidth="1"/>
    <col min="3925" max="3925" width="7.5703125" customWidth="1"/>
    <col min="3927" max="3927" width="7.85546875" customWidth="1"/>
    <col min="4097" max="4100" width="10.140625" customWidth="1"/>
    <col min="4101" max="4101" width="11.5703125" customWidth="1"/>
    <col min="4102" max="4107" width="10.140625" customWidth="1"/>
    <col min="4108" max="4108" width="9.140625" customWidth="1"/>
    <col min="4109" max="4109" width="6.5703125" customWidth="1"/>
    <col min="4110" max="4115" width="10.140625" customWidth="1"/>
    <col min="4116" max="4116" width="3.7109375" customWidth="1"/>
    <col min="4117" max="4124" width="10.140625" customWidth="1"/>
    <col min="4125" max="4125" width="0.42578125" customWidth="1"/>
    <col min="4126" max="4138" width="10.140625" customWidth="1"/>
    <col min="4141" max="4141" width="3.7109375" customWidth="1"/>
    <col min="4156" max="4156" width="6.140625" customWidth="1"/>
    <col min="4163" max="4163" width="15.140625" customWidth="1"/>
    <col min="4164" max="4164" width="20.5703125" customWidth="1"/>
    <col min="4166" max="4166" width="10.5703125" customWidth="1"/>
    <col min="4167" max="4167" width="18.5703125" customWidth="1"/>
    <col min="4168" max="4168" width="14.42578125" customWidth="1"/>
    <col min="4169" max="4169" width="13.5703125" customWidth="1"/>
    <col min="4170" max="4170" width="12.42578125" customWidth="1"/>
    <col min="4171" max="4171" width="7.42578125" customWidth="1"/>
    <col min="4172" max="4172" width="17.85546875" customWidth="1"/>
    <col min="4173" max="4173" width="18.140625" customWidth="1"/>
    <col min="4174" max="4174" width="18.42578125" customWidth="1"/>
    <col min="4175" max="4175" width="19.28515625" customWidth="1"/>
    <col min="4176" max="4176" width="20.42578125" customWidth="1"/>
    <col min="4177" max="4177" width="35.140625" customWidth="1"/>
    <col min="4178" max="4178" width="11.85546875" customWidth="1"/>
    <col min="4179" max="4179" width="6.5703125" customWidth="1"/>
    <col min="4180" max="4180" width="7.85546875" customWidth="1"/>
    <col min="4181" max="4181" width="7.5703125" customWidth="1"/>
    <col min="4183" max="4183" width="7.85546875" customWidth="1"/>
    <col min="4353" max="4356" width="10.140625" customWidth="1"/>
    <col min="4357" max="4357" width="11.5703125" customWidth="1"/>
    <col min="4358" max="4363" width="10.140625" customWidth="1"/>
    <col min="4364" max="4364" width="9.140625" customWidth="1"/>
    <col min="4365" max="4365" width="6.5703125" customWidth="1"/>
    <col min="4366" max="4371" width="10.140625" customWidth="1"/>
    <col min="4372" max="4372" width="3.7109375" customWidth="1"/>
    <col min="4373" max="4380" width="10.140625" customWidth="1"/>
    <col min="4381" max="4381" width="0.42578125" customWidth="1"/>
    <col min="4382" max="4394" width="10.140625" customWidth="1"/>
    <col min="4397" max="4397" width="3.7109375" customWidth="1"/>
    <col min="4412" max="4412" width="6.140625" customWidth="1"/>
    <col min="4419" max="4419" width="15.140625" customWidth="1"/>
    <col min="4420" max="4420" width="20.5703125" customWidth="1"/>
    <col min="4422" max="4422" width="10.5703125" customWidth="1"/>
    <col min="4423" max="4423" width="18.5703125" customWidth="1"/>
    <col min="4424" max="4424" width="14.42578125" customWidth="1"/>
    <col min="4425" max="4425" width="13.5703125" customWidth="1"/>
    <col min="4426" max="4426" width="12.42578125" customWidth="1"/>
    <col min="4427" max="4427" width="7.42578125" customWidth="1"/>
    <col min="4428" max="4428" width="17.85546875" customWidth="1"/>
    <col min="4429" max="4429" width="18.140625" customWidth="1"/>
    <col min="4430" max="4430" width="18.42578125" customWidth="1"/>
    <col min="4431" max="4431" width="19.28515625" customWidth="1"/>
    <col min="4432" max="4432" width="20.42578125" customWidth="1"/>
    <col min="4433" max="4433" width="35.140625" customWidth="1"/>
    <col min="4434" max="4434" width="11.85546875" customWidth="1"/>
    <col min="4435" max="4435" width="6.5703125" customWidth="1"/>
    <col min="4436" max="4436" width="7.85546875" customWidth="1"/>
    <col min="4437" max="4437" width="7.5703125" customWidth="1"/>
    <col min="4439" max="4439" width="7.85546875" customWidth="1"/>
    <col min="4609" max="4612" width="10.140625" customWidth="1"/>
    <col min="4613" max="4613" width="11.5703125" customWidth="1"/>
    <col min="4614" max="4619" width="10.140625" customWidth="1"/>
    <col min="4620" max="4620" width="9.140625" customWidth="1"/>
    <col min="4621" max="4621" width="6.5703125" customWidth="1"/>
    <col min="4622" max="4627" width="10.140625" customWidth="1"/>
    <col min="4628" max="4628" width="3.7109375" customWidth="1"/>
    <col min="4629" max="4636" width="10.140625" customWidth="1"/>
    <col min="4637" max="4637" width="0.42578125" customWidth="1"/>
    <col min="4638" max="4650" width="10.140625" customWidth="1"/>
    <col min="4653" max="4653" width="3.7109375" customWidth="1"/>
    <col min="4668" max="4668" width="6.140625" customWidth="1"/>
    <col min="4675" max="4675" width="15.140625" customWidth="1"/>
    <col min="4676" max="4676" width="20.5703125" customWidth="1"/>
    <col min="4678" max="4678" width="10.5703125" customWidth="1"/>
    <col min="4679" max="4679" width="18.5703125" customWidth="1"/>
    <col min="4680" max="4680" width="14.42578125" customWidth="1"/>
    <col min="4681" max="4681" width="13.5703125" customWidth="1"/>
    <col min="4682" max="4682" width="12.42578125" customWidth="1"/>
    <col min="4683" max="4683" width="7.42578125" customWidth="1"/>
    <col min="4684" max="4684" width="17.85546875" customWidth="1"/>
    <col min="4685" max="4685" width="18.140625" customWidth="1"/>
    <col min="4686" max="4686" width="18.42578125" customWidth="1"/>
    <col min="4687" max="4687" width="19.28515625" customWidth="1"/>
    <col min="4688" max="4688" width="20.42578125" customWidth="1"/>
    <col min="4689" max="4689" width="35.140625" customWidth="1"/>
    <col min="4690" max="4690" width="11.85546875" customWidth="1"/>
    <col min="4691" max="4691" width="6.5703125" customWidth="1"/>
    <col min="4692" max="4692" width="7.85546875" customWidth="1"/>
    <col min="4693" max="4693" width="7.5703125" customWidth="1"/>
    <col min="4695" max="4695" width="7.85546875" customWidth="1"/>
    <col min="4865" max="4868" width="10.140625" customWidth="1"/>
    <col min="4869" max="4869" width="11.5703125" customWidth="1"/>
    <col min="4870" max="4875" width="10.140625" customWidth="1"/>
    <col min="4876" max="4876" width="9.140625" customWidth="1"/>
    <col min="4877" max="4877" width="6.5703125" customWidth="1"/>
    <col min="4878" max="4883" width="10.140625" customWidth="1"/>
    <col min="4884" max="4884" width="3.7109375" customWidth="1"/>
    <col min="4885" max="4892" width="10.140625" customWidth="1"/>
    <col min="4893" max="4893" width="0.42578125" customWidth="1"/>
    <col min="4894" max="4906" width="10.140625" customWidth="1"/>
    <col min="4909" max="4909" width="3.7109375" customWidth="1"/>
    <col min="4924" max="4924" width="6.140625" customWidth="1"/>
    <col min="4931" max="4931" width="15.140625" customWidth="1"/>
    <col min="4932" max="4932" width="20.5703125" customWidth="1"/>
    <col min="4934" max="4934" width="10.5703125" customWidth="1"/>
    <col min="4935" max="4935" width="18.5703125" customWidth="1"/>
    <col min="4936" max="4936" width="14.42578125" customWidth="1"/>
    <col min="4937" max="4937" width="13.5703125" customWidth="1"/>
    <col min="4938" max="4938" width="12.42578125" customWidth="1"/>
    <col min="4939" max="4939" width="7.42578125" customWidth="1"/>
    <col min="4940" max="4940" width="17.85546875" customWidth="1"/>
    <col min="4941" max="4941" width="18.140625" customWidth="1"/>
    <col min="4942" max="4942" width="18.42578125" customWidth="1"/>
    <col min="4943" max="4943" width="19.28515625" customWidth="1"/>
    <col min="4944" max="4944" width="20.42578125" customWidth="1"/>
    <col min="4945" max="4945" width="35.140625" customWidth="1"/>
    <col min="4946" max="4946" width="11.85546875" customWidth="1"/>
    <col min="4947" max="4947" width="6.5703125" customWidth="1"/>
    <col min="4948" max="4948" width="7.85546875" customWidth="1"/>
    <col min="4949" max="4949" width="7.5703125" customWidth="1"/>
    <col min="4951" max="4951" width="7.85546875" customWidth="1"/>
    <col min="5121" max="5124" width="10.140625" customWidth="1"/>
    <col min="5125" max="5125" width="11.5703125" customWidth="1"/>
    <col min="5126" max="5131" width="10.140625" customWidth="1"/>
    <col min="5132" max="5132" width="9.140625" customWidth="1"/>
    <col min="5133" max="5133" width="6.5703125" customWidth="1"/>
    <col min="5134" max="5139" width="10.140625" customWidth="1"/>
    <col min="5140" max="5140" width="3.7109375" customWidth="1"/>
    <col min="5141" max="5148" width="10.140625" customWidth="1"/>
    <col min="5149" max="5149" width="0.42578125" customWidth="1"/>
    <col min="5150" max="5162" width="10.140625" customWidth="1"/>
    <col min="5165" max="5165" width="3.7109375" customWidth="1"/>
    <col min="5180" max="5180" width="6.140625" customWidth="1"/>
    <col min="5187" max="5187" width="15.140625" customWidth="1"/>
    <col min="5188" max="5188" width="20.5703125" customWidth="1"/>
    <col min="5190" max="5190" width="10.5703125" customWidth="1"/>
    <col min="5191" max="5191" width="18.5703125" customWidth="1"/>
    <col min="5192" max="5192" width="14.42578125" customWidth="1"/>
    <col min="5193" max="5193" width="13.5703125" customWidth="1"/>
    <col min="5194" max="5194" width="12.42578125" customWidth="1"/>
    <col min="5195" max="5195" width="7.42578125" customWidth="1"/>
    <col min="5196" max="5196" width="17.85546875" customWidth="1"/>
    <col min="5197" max="5197" width="18.140625" customWidth="1"/>
    <col min="5198" max="5198" width="18.42578125" customWidth="1"/>
    <col min="5199" max="5199" width="19.28515625" customWidth="1"/>
    <col min="5200" max="5200" width="20.42578125" customWidth="1"/>
    <col min="5201" max="5201" width="35.140625" customWidth="1"/>
    <col min="5202" max="5202" width="11.85546875" customWidth="1"/>
    <col min="5203" max="5203" width="6.5703125" customWidth="1"/>
    <col min="5204" max="5204" width="7.85546875" customWidth="1"/>
    <col min="5205" max="5205" width="7.5703125" customWidth="1"/>
    <col min="5207" max="5207" width="7.85546875" customWidth="1"/>
    <col min="5377" max="5380" width="10.140625" customWidth="1"/>
    <col min="5381" max="5381" width="11.5703125" customWidth="1"/>
    <col min="5382" max="5387" width="10.140625" customWidth="1"/>
    <col min="5388" max="5388" width="9.140625" customWidth="1"/>
    <col min="5389" max="5389" width="6.5703125" customWidth="1"/>
    <col min="5390" max="5395" width="10.140625" customWidth="1"/>
    <col min="5396" max="5396" width="3.7109375" customWidth="1"/>
    <col min="5397" max="5404" width="10.140625" customWidth="1"/>
    <col min="5405" max="5405" width="0.42578125" customWidth="1"/>
    <col min="5406" max="5418" width="10.140625" customWidth="1"/>
    <col min="5421" max="5421" width="3.7109375" customWidth="1"/>
    <col min="5436" max="5436" width="6.140625" customWidth="1"/>
    <col min="5443" max="5443" width="15.140625" customWidth="1"/>
    <col min="5444" max="5444" width="20.5703125" customWidth="1"/>
    <col min="5446" max="5446" width="10.5703125" customWidth="1"/>
    <col min="5447" max="5447" width="18.5703125" customWidth="1"/>
    <col min="5448" max="5448" width="14.42578125" customWidth="1"/>
    <col min="5449" max="5449" width="13.5703125" customWidth="1"/>
    <col min="5450" max="5450" width="12.42578125" customWidth="1"/>
    <col min="5451" max="5451" width="7.42578125" customWidth="1"/>
    <col min="5452" max="5452" width="17.85546875" customWidth="1"/>
    <col min="5453" max="5453" width="18.140625" customWidth="1"/>
    <col min="5454" max="5454" width="18.42578125" customWidth="1"/>
    <col min="5455" max="5455" width="19.28515625" customWidth="1"/>
    <col min="5456" max="5456" width="20.42578125" customWidth="1"/>
    <col min="5457" max="5457" width="35.140625" customWidth="1"/>
    <col min="5458" max="5458" width="11.85546875" customWidth="1"/>
    <col min="5459" max="5459" width="6.5703125" customWidth="1"/>
    <col min="5460" max="5460" width="7.85546875" customWidth="1"/>
    <col min="5461" max="5461" width="7.5703125" customWidth="1"/>
    <col min="5463" max="5463" width="7.85546875" customWidth="1"/>
    <col min="5633" max="5636" width="10.140625" customWidth="1"/>
    <col min="5637" max="5637" width="11.5703125" customWidth="1"/>
    <col min="5638" max="5643" width="10.140625" customWidth="1"/>
    <col min="5644" max="5644" width="9.140625" customWidth="1"/>
    <col min="5645" max="5645" width="6.5703125" customWidth="1"/>
    <col min="5646" max="5651" width="10.140625" customWidth="1"/>
    <col min="5652" max="5652" width="3.7109375" customWidth="1"/>
    <col min="5653" max="5660" width="10.140625" customWidth="1"/>
    <col min="5661" max="5661" width="0.42578125" customWidth="1"/>
    <col min="5662" max="5674" width="10.140625" customWidth="1"/>
    <col min="5677" max="5677" width="3.7109375" customWidth="1"/>
    <col min="5692" max="5692" width="6.140625" customWidth="1"/>
    <col min="5699" max="5699" width="15.140625" customWidth="1"/>
    <col min="5700" max="5700" width="20.5703125" customWidth="1"/>
    <col min="5702" max="5702" width="10.5703125" customWidth="1"/>
    <col min="5703" max="5703" width="18.5703125" customWidth="1"/>
    <col min="5704" max="5704" width="14.42578125" customWidth="1"/>
    <col min="5705" max="5705" width="13.5703125" customWidth="1"/>
    <col min="5706" max="5706" width="12.42578125" customWidth="1"/>
    <col min="5707" max="5707" width="7.42578125" customWidth="1"/>
    <col min="5708" max="5708" width="17.85546875" customWidth="1"/>
    <col min="5709" max="5709" width="18.140625" customWidth="1"/>
    <col min="5710" max="5710" width="18.42578125" customWidth="1"/>
    <col min="5711" max="5711" width="19.28515625" customWidth="1"/>
    <col min="5712" max="5712" width="20.42578125" customWidth="1"/>
    <col min="5713" max="5713" width="35.140625" customWidth="1"/>
    <col min="5714" max="5714" width="11.85546875" customWidth="1"/>
    <col min="5715" max="5715" width="6.5703125" customWidth="1"/>
    <col min="5716" max="5716" width="7.85546875" customWidth="1"/>
    <col min="5717" max="5717" width="7.5703125" customWidth="1"/>
    <col min="5719" max="5719" width="7.85546875" customWidth="1"/>
    <col min="5889" max="5892" width="10.140625" customWidth="1"/>
    <col min="5893" max="5893" width="11.5703125" customWidth="1"/>
    <col min="5894" max="5899" width="10.140625" customWidth="1"/>
    <col min="5900" max="5900" width="9.140625" customWidth="1"/>
    <col min="5901" max="5901" width="6.5703125" customWidth="1"/>
    <col min="5902" max="5907" width="10.140625" customWidth="1"/>
    <col min="5908" max="5908" width="3.7109375" customWidth="1"/>
    <col min="5909" max="5916" width="10.140625" customWidth="1"/>
    <col min="5917" max="5917" width="0.42578125" customWidth="1"/>
    <col min="5918" max="5930" width="10.140625" customWidth="1"/>
    <col min="5933" max="5933" width="3.7109375" customWidth="1"/>
    <col min="5948" max="5948" width="6.140625" customWidth="1"/>
    <col min="5955" max="5955" width="15.140625" customWidth="1"/>
    <col min="5956" max="5956" width="20.5703125" customWidth="1"/>
    <col min="5958" max="5958" width="10.5703125" customWidth="1"/>
    <col min="5959" max="5959" width="18.5703125" customWidth="1"/>
    <col min="5960" max="5960" width="14.42578125" customWidth="1"/>
    <col min="5961" max="5961" width="13.5703125" customWidth="1"/>
    <col min="5962" max="5962" width="12.42578125" customWidth="1"/>
    <col min="5963" max="5963" width="7.42578125" customWidth="1"/>
    <col min="5964" max="5964" width="17.85546875" customWidth="1"/>
    <col min="5965" max="5965" width="18.140625" customWidth="1"/>
    <col min="5966" max="5966" width="18.42578125" customWidth="1"/>
    <col min="5967" max="5967" width="19.28515625" customWidth="1"/>
    <col min="5968" max="5968" width="20.42578125" customWidth="1"/>
    <col min="5969" max="5969" width="35.140625" customWidth="1"/>
    <col min="5970" max="5970" width="11.85546875" customWidth="1"/>
    <col min="5971" max="5971" width="6.5703125" customWidth="1"/>
    <col min="5972" max="5972" width="7.85546875" customWidth="1"/>
    <col min="5973" max="5973" width="7.5703125" customWidth="1"/>
    <col min="5975" max="5975" width="7.85546875" customWidth="1"/>
    <col min="6145" max="6148" width="10.140625" customWidth="1"/>
    <col min="6149" max="6149" width="11.5703125" customWidth="1"/>
    <col min="6150" max="6155" width="10.140625" customWidth="1"/>
    <col min="6156" max="6156" width="9.140625" customWidth="1"/>
    <col min="6157" max="6157" width="6.5703125" customWidth="1"/>
    <col min="6158" max="6163" width="10.140625" customWidth="1"/>
    <col min="6164" max="6164" width="3.7109375" customWidth="1"/>
    <col min="6165" max="6172" width="10.140625" customWidth="1"/>
    <col min="6173" max="6173" width="0.42578125" customWidth="1"/>
    <col min="6174" max="6186" width="10.140625" customWidth="1"/>
    <col min="6189" max="6189" width="3.7109375" customWidth="1"/>
    <col min="6204" max="6204" width="6.140625" customWidth="1"/>
    <col min="6211" max="6211" width="15.140625" customWidth="1"/>
    <col min="6212" max="6212" width="20.5703125" customWidth="1"/>
    <col min="6214" max="6214" width="10.5703125" customWidth="1"/>
    <col min="6215" max="6215" width="18.5703125" customWidth="1"/>
    <col min="6216" max="6216" width="14.42578125" customWidth="1"/>
    <col min="6217" max="6217" width="13.5703125" customWidth="1"/>
    <col min="6218" max="6218" width="12.42578125" customWidth="1"/>
    <col min="6219" max="6219" width="7.42578125" customWidth="1"/>
    <col min="6220" max="6220" width="17.85546875" customWidth="1"/>
    <col min="6221" max="6221" width="18.140625" customWidth="1"/>
    <col min="6222" max="6222" width="18.42578125" customWidth="1"/>
    <col min="6223" max="6223" width="19.28515625" customWidth="1"/>
    <col min="6224" max="6224" width="20.42578125" customWidth="1"/>
    <col min="6225" max="6225" width="35.140625" customWidth="1"/>
    <col min="6226" max="6226" width="11.85546875" customWidth="1"/>
    <col min="6227" max="6227" width="6.5703125" customWidth="1"/>
    <col min="6228" max="6228" width="7.85546875" customWidth="1"/>
    <col min="6229" max="6229" width="7.5703125" customWidth="1"/>
    <col min="6231" max="6231" width="7.85546875" customWidth="1"/>
    <col min="6401" max="6404" width="10.140625" customWidth="1"/>
    <col min="6405" max="6405" width="11.5703125" customWidth="1"/>
    <col min="6406" max="6411" width="10.140625" customWidth="1"/>
    <col min="6412" max="6412" width="9.140625" customWidth="1"/>
    <col min="6413" max="6413" width="6.5703125" customWidth="1"/>
    <col min="6414" max="6419" width="10.140625" customWidth="1"/>
    <col min="6420" max="6420" width="3.7109375" customWidth="1"/>
    <col min="6421" max="6428" width="10.140625" customWidth="1"/>
    <col min="6429" max="6429" width="0.42578125" customWidth="1"/>
    <col min="6430" max="6442" width="10.140625" customWidth="1"/>
    <col min="6445" max="6445" width="3.7109375" customWidth="1"/>
    <col min="6460" max="6460" width="6.140625" customWidth="1"/>
    <col min="6467" max="6467" width="15.140625" customWidth="1"/>
    <col min="6468" max="6468" width="20.5703125" customWidth="1"/>
    <col min="6470" max="6470" width="10.5703125" customWidth="1"/>
    <col min="6471" max="6471" width="18.5703125" customWidth="1"/>
    <col min="6472" max="6472" width="14.42578125" customWidth="1"/>
    <col min="6473" max="6473" width="13.5703125" customWidth="1"/>
    <col min="6474" max="6474" width="12.42578125" customWidth="1"/>
    <col min="6475" max="6475" width="7.42578125" customWidth="1"/>
    <col min="6476" max="6476" width="17.85546875" customWidth="1"/>
    <col min="6477" max="6477" width="18.140625" customWidth="1"/>
    <col min="6478" max="6478" width="18.42578125" customWidth="1"/>
    <col min="6479" max="6479" width="19.28515625" customWidth="1"/>
    <col min="6480" max="6480" width="20.42578125" customWidth="1"/>
    <col min="6481" max="6481" width="35.140625" customWidth="1"/>
    <col min="6482" max="6482" width="11.85546875" customWidth="1"/>
    <col min="6483" max="6483" width="6.5703125" customWidth="1"/>
    <col min="6484" max="6484" width="7.85546875" customWidth="1"/>
    <col min="6485" max="6485" width="7.5703125" customWidth="1"/>
    <col min="6487" max="6487" width="7.85546875" customWidth="1"/>
    <col min="6657" max="6660" width="10.140625" customWidth="1"/>
    <col min="6661" max="6661" width="11.5703125" customWidth="1"/>
    <col min="6662" max="6667" width="10.140625" customWidth="1"/>
    <col min="6668" max="6668" width="9.140625" customWidth="1"/>
    <col min="6669" max="6669" width="6.5703125" customWidth="1"/>
    <col min="6670" max="6675" width="10.140625" customWidth="1"/>
    <col min="6676" max="6676" width="3.7109375" customWidth="1"/>
    <col min="6677" max="6684" width="10.140625" customWidth="1"/>
    <col min="6685" max="6685" width="0.42578125" customWidth="1"/>
    <col min="6686" max="6698" width="10.140625" customWidth="1"/>
    <col min="6701" max="6701" width="3.7109375" customWidth="1"/>
    <col min="6716" max="6716" width="6.140625" customWidth="1"/>
    <col min="6723" max="6723" width="15.140625" customWidth="1"/>
    <col min="6724" max="6724" width="20.5703125" customWidth="1"/>
    <col min="6726" max="6726" width="10.5703125" customWidth="1"/>
    <col min="6727" max="6727" width="18.5703125" customWidth="1"/>
    <col min="6728" max="6728" width="14.42578125" customWidth="1"/>
    <col min="6729" max="6729" width="13.5703125" customWidth="1"/>
    <col min="6730" max="6730" width="12.42578125" customWidth="1"/>
    <col min="6731" max="6731" width="7.42578125" customWidth="1"/>
    <col min="6732" max="6732" width="17.85546875" customWidth="1"/>
    <col min="6733" max="6733" width="18.140625" customWidth="1"/>
    <col min="6734" max="6734" width="18.42578125" customWidth="1"/>
    <col min="6735" max="6735" width="19.28515625" customWidth="1"/>
    <col min="6736" max="6736" width="20.42578125" customWidth="1"/>
    <col min="6737" max="6737" width="35.140625" customWidth="1"/>
    <col min="6738" max="6738" width="11.85546875" customWidth="1"/>
    <col min="6739" max="6739" width="6.5703125" customWidth="1"/>
    <col min="6740" max="6740" width="7.85546875" customWidth="1"/>
    <col min="6741" max="6741" width="7.5703125" customWidth="1"/>
    <col min="6743" max="6743" width="7.85546875" customWidth="1"/>
    <col min="6913" max="6916" width="10.140625" customWidth="1"/>
    <col min="6917" max="6917" width="11.5703125" customWidth="1"/>
    <col min="6918" max="6923" width="10.140625" customWidth="1"/>
    <col min="6924" max="6924" width="9.140625" customWidth="1"/>
    <col min="6925" max="6925" width="6.5703125" customWidth="1"/>
    <col min="6926" max="6931" width="10.140625" customWidth="1"/>
    <col min="6932" max="6932" width="3.7109375" customWidth="1"/>
    <col min="6933" max="6940" width="10.140625" customWidth="1"/>
    <col min="6941" max="6941" width="0.42578125" customWidth="1"/>
    <col min="6942" max="6954" width="10.140625" customWidth="1"/>
    <col min="6957" max="6957" width="3.7109375" customWidth="1"/>
    <col min="6972" max="6972" width="6.140625" customWidth="1"/>
    <col min="6979" max="6979" width="15.140625" customWidth="1"/>
    <col min="6980" max="6980" width="20.5703125" customWidth="1"/>
    <col min="6982" max="6982" width="10.5703125" customWidth="1"/>
    <col min="6983" max="6983" width="18.5703125" customWidth="1"/>
    <col min="6984" max="6984" width="14.42578125" customWidth="1"/>
    <col min="6985" max="6985" width="13.5703125" customWidth="1"/>
    <col min="6986" max="6986" width="12.42578125" customWidth="1"/>
    <col min="6987" max="6987" width="7.42578125" customWidth="1"/>
    <col min="6988" max="6988" width="17.85546875" customWidth="1"/>
    <col min="6989" max="6989" width="18.140625" customWidth="1"/>
    <col min="6990" max="6990" width="18.42578125" customWidth="1"/>
    <col min="6991" max="6991" width="19.28515625" customWidth="1"/>
    <col min="6992" max="6992" width="20.42578125" customWidth="1"/>
    <col min="6993" max="6993" width="35.140625" customWidth="1"/>
    <col min="6994" max="6994" width="11.85546875" customWidth="1"/>
    <col min="6995" max="6995" width="6.5703125" customWidth="1"/>
    <col min="6996" max="6996" width="7.85546875" customWidth="1"/>
    <col min="6997" max="6997" width="7.5703125" customWidth="1"/>
    <col min="6999" max="6999" width="7.85546875" customWidth="1"/>
    <col min="7169" max="7172" width="10.140625" customWidth="1"/>
    <col min="7173" max="7173" width="11.5703125" customWidth="1"/>
    <col min="7174" max="7179" width="10.140625" customWidth="1"/>
    <col min="7180" max="7180" width="9.140625" customWidth="1"/>
    <col min="7181" max="7181" width="6.5703125" customWidth="1"/>
    <col min="7182" max="7187" width="10.140625" customWidth="1"/>
    <col min="7188" max="7188" width="3.7109375" customWidth="1"/>
    <col min="7189" max="7196" width="10.140625" customWidth="1"/>
    <col min="7197" max="7197" width="0.42578125" customWidth="1"/>
    <col min="7198" max="7210" width="10.140625" customWidth="1"/>
    <col min="7213" max="7213" width="3.7109375" customWidth="1"/>
    <col min="7228" max="7228" width="6.140625" customWidth="1"/>
    <col min="7235" max="7235" width="15.140625" customWidth="1"/>
    <col min="7236" max="7236" width="20.5703125" customWidth="1"/>
    <col min="7238" max="7238" width="10.5703125" customWidth="1"/>
    <col min="7239" max="7239" width="18.5703125" customWidth="1"/>
    <col min="7240" max="7240" width="14.42578125" customWidth="1"/>
    <col min="7241" max="7241" width="13.5703125" customWidth="1"/>
    <col min="7242" max="7242" width="12.42578125" customWidth="1"/>
    <col min="7243" max="7243" width="7.42578125" customWidth="1"/>
    <col min="7244" max="7244" width="17.85546875" customWidth="1"/>
    <col min="7245" max="7245" width="18.140625" customWidth="1"/>
    <col min="7246" max="7246" width="18.42578125" customWidth="1"/>
    <col min="7247" max="7247" width="19.28515625" customWidth="1"/>
    <col min="7248" max="7248" width="20.42578125" customWidth="1"/>
    <col min="7249" max="7249" width="35.140625" customWidth="1"/>
    <col min="7250" max="7250" width="11.85546875" customWidth="1"/>
    <col min="7251" max="7251" width="6.5703125" customWidth="1"/>
    <col min="7252" max="7252" width="7.85546875" customWidth="1"/>
    <col min="7253" max="7253" width="7.5703125" customWidth="1"/>
    <col min="7255" max="7255" width="7.85546875" customWidth="1"/>
    <col min="7425" max="7428" width="10.140625" customWidth="1"/>
    <col min="7429" max="7429" width="11.5703125" customWidth="1"/>
    <col min="7430" max="7435" width="10.140625" customWidth="1"/>
    <col min="7436" max="7436" width="9.140625" customWidth="1"/>
    <col min="7437" max="7437" width="6.5703125" customWidth="1"/>
    <col min="7438" max="7443" width="10.140625" customWidth="1"/>
    <col min="7444" max="7444" width="3.7109375" customWidth="1"/>
    <col min="7445" max="7452" width="10.140625" customWidth="1"/>
    <col min="7453" max="7453" width="0.42578125" customWidth="1"/>
    <col min="7454" max="7466" width="10.140625" customWidth="1"/>
    <col min="7469" max="7469" width="3.7109375" customWidth="1"/>
    <col min="7484" max="7484" width="6.140625" customWidth="1"/>
    <col min="7491" max="7491" width="15.140625" customWidth="1"/>
    <col min="7492" max="7492" width="20.5703125" customWidth="1"/>
    <col min="7494" max="7494" width="10.5703125" customWidth="1"/>
    <col min="7495" max="7495" width="18.5703125" customWidth="1"/>
    <col min="7496" max="7496" width="14.42578125" customWidth="1"/>
    <col min="7497" max="7497" width="13.5703125" customWidth="1"/>
    <col min="7498" max="7498" width="12.42578125" customWidth="1"/>
    <col min="7499" max="7499" width="7.42578125" customWidth="1"/>
    <col min="7500" max="7500" width="17.85546875" customWidth="1"/>
    <col min="7501" max="7501" width="18.140625" customWidth="1"/>
    <col min="7502" max="7502" width="18.42578125" customWidth="1"/>
    <col min="7503" max="7503" width="19.28515625" customWidth="1"/>
    <col min="7504" max="7504" width="20.42578125" customWidth="1"/>
    <col min="7505" max="7505" width="35.140625" customWidth="1"/>
    <col min="7506" max="7506" width="11.85546875" customWidth="1"/>
    <col min="7507" max="7507" width="6.5703125" customWidth="1"/>
    <col min="7508" max="7508" width="7.85546875" customWidth="1"/>
    <col min="7509" max="7509" width="7.5703125" customWidth="1"/>
    <col min="7511" max="7511" width="7.85546875" customWidth="1"/>
    <col min="7681" max="7684" width="10.140625" customWidth="1"/>
    <col min="7685" max="7685" width="11.5703125" customWidth="1"/>
    <col min="7686" max="7691" width="10.140625" customWidth="1"/>
    <col min="7692" max="7692" width="9.140625" customWidth="1"/>
    <col min="7693" max="7693" width="6.5703125" customWidth="1"/>
    <col min="7694" max="7699" width="10.140625" customWidth="1"/>
    <col min="7700" max="7700" width="3.7109375" customWidth="1"/>
    <col min="7701" max="7708" width="10.140625" customWidth="1"/>
    <col min="7709" max="7709" width="0.42578125" customWidth="1"/>
    <col min="7710" max="7722" width="10.140625" customWidth="1"/>
    <col min="7725" max="7725" width="3.7109375" customWidth="1"/>
    <col min="7740" max="7740" width="6.140625" customWidth="1"/>
    <col min="7747" max="7747" width="15.140625" customWidth="1"/>
    <col min="7748" max="7748" width="20.5703125" customWidth="1"/>
    <col min="7750" max="7750" width="10.5703125" customWidth="1"/>
    <col min="7751" max="7751" width="18.5703125" customWidth="1"/>
    <col min="7752" max="7752" width="14.42578125" customWidth="1"/>
    <col min="7753" max="7753" width="13.5703125" customWidth="1"/>
    <col min="7754" max="7754" width="12.42578125" customWidth="1"/>
    <col min="7755" max="7755" width="7.42578125" customWidth="1"/>
    <col min="7756" max="7756" width="17.85546875" customWidth="1"/>
    <col min="7757" max="7757" width="18.140625" customWidth="1"/>
    <col min="7758" max="7758" width="18.42578125" customWidth="1"/>
    <col min="7759" max="7759" width="19.28515625" customWidth="1"/>
    <col min="7760" max="7760" width="20.42578125" customWidth="1"/>
    <col min="7761" max="7761" width="35.140625" customWidth="1"/>
    <col min="7762" max="7762" width="11.85546875" customWidth="1"/>
    <col min="7763" max="7763" width="6.5703125" customWidth="1"/>
    <col min="7764" max="7764" width="7.85546875" customWidth="1"/>
    <col min="7765" max="7765" width="7.5703125" customWidth="1"/>
    <col min="7767" max="7767" width="7.85546875" customWidth="1"/>
    <col min="7937" max="7940" width="10.140625" customWidth="1"/>
    <col min="7941" max="7941" width="11.5703125" customWidth="1"/>
    <col min="7942" max="7947" width="10.140625" customWidth="1"/>
    <col min="7948" max="7948" width="9.140625" customWidth="1"/>
    <col min="7949" max="7949" width="6.5703125" customWidth="1"/>
    <col min="7950" max="7955" width="10.140625" customWidth="1"/>
    <col min="7956" max="7956" width="3.7109375" customWidth="1"/>
    <col min="7957" max="7964" width="10.140625" customWidth="1"/>
    <col min="7965" max="7965" width="0.42578125" customWidth="1"/>
    <col min="7966" max="7978" width="10.140625" customWidth="1"/>
    <col min="7981" max="7981" width="3.7109375" customWidth="1"/>
    <col min="7996" max="7996" width="6.140625" customWidth="1"/>
    <col min="8003" max="8003" width="15.140625" customWidth="1"/>
    <col min="8004" max="8004" width="20.5703125" customWidth="1"/>
    <col min="8006" max="8006" width="10.5703125" customWidth="1"/>
    <col min="8007" max="8007" width="18.5703125" customWidth="1"/>
    <col min="8008" max="8008" width="14.42578125" customWidth="1"/>
    <col min="8009" max="8009" width="13.5703125" customWidth="1"/>
    <col min="8010" max="8010" width="12.42578125" customWidth="1"/>
    <col min="8011" max="8011" width="7.42578125" customWidth="1"/>
    <col min="8012" max="8012" width="17.85546875" customWidth="1"/>
    <col min="8013" max="8013" width="18.140625" customWidth="1"/>
    <col min="8014" max="8014" width="18.42578125" customWidth="1"/>
    <col min="8015" max="8015" width="19.28515625" customWidth="1"/>
    <col min="8016" max="8016" width="20.42578125" customWidth="1"/>
    <col min="8017" max="8017" width="35.140625" customWidth="1"/>
    <col min="8018" max="8018" width="11.85546875" customWidth="1"/>
    <col min="8019" max="8019" width="6.5703125" customWidth="1"/>
    <col min="8020" max="8020" width="7.85546875" customWidth="1"/>
    <col min="8021" max="8021" width="7.5703125" customWidth="1"/>
    <col min="8023" max="8023" width="7.85546875" customWidth="1"/>
    <col min="8193" max="8196" width="10.140625" customWidth="1"/>
    <col min="8197" max="8197" width="11.5703125" customWidth="1"/>
    <col min="8198" max="8203" width="10.140625" customWidth="1"/>
    <col min="8204" max="8204" width="9.140625" customWidth="1"/>
    <col min="8205" max="8205" width="6.5703125" customWidth="1"/>
    <col min="8206" max="8211" width="10.140625" customWidth="1"/>
    <col min="8212" max="8212" width="3.7109375" customWidth="1"/>
    <col min="8213" max="8220" width="10.140625" customWidth="1"/>
    <col min="8221" max="8221" width="0.42578125" customWidth="1"/>
    <col min="8222" max="8234" width="10.140625" customWidth="1"/>
    <col min="8237" max="8237" width="3.7109375" customWidth="1"/>
    <col min="8252" max="8252" width="6.140625" customWidth="1"/>
    <col min="8259" max="8259" width="15.140625" customWidth="1"/>
    <col min="8260" max="8260" width="20.5703125" customWidth="1"/>
    <col min="8262" max="8262" width="10.5703125" customWidth="1"/>
    <col min="8263" max="8263" width="18.5703125" customWidth="1"/>
    <col min="8264" max="8264" width="14.42578125" customWidth="1"/>
    <col min="8265" max="8265" width="13.5703125" customWidth="1"/>
    <col min="8266" max="8266" width="12.42578125" customWidth="1"/>
    <col min="8267" max="8267" width="7.42578125" customWidth="1"/>
    <col min="8268" max="8268" width="17.85546875" customWidth="1"/>
    <col min="8269" max="8269" width="18.140625" customWidth="1"/>
    <col min="8270" max="8270" width="18.42578125" customWidth="1"/>
    <col min="8271" max="8271" width="19.28515625" customWidth="1"/>
    <col min="8272" max="8272" width="20.42578125" customWidth="1"/>
    <col min="8273" max="8273" width="35.140625" customWidth="1"/>
    <col min="8274" max="8274" width="11.85546875" customWidth="1"/>
    <col min="8275" max="8275" width="6.5703125" customWidth="1"/>
    <col min="8276" max="8276" width="7.85546875" customWidth="1"/>
    <col min="8277" max="8277" width="7.5703125" customWidth="1"/>
    <col min="8279" max="8279" width="7.85546875" customWidth="1"/>
    <col min="8449" max="8452" width="10.140625" customWidth="1"/>
    <col min="8453" max="8453" width="11.5703125" customWidth="1"/>
    <col min="8454" max="8459" width="10.140625" customWidth="1"/>
    <col min="8460" max="8460" width="9.140625" customWidth="1"/>
    <col min="8461" max="8461" width="6.5703125" customWidth="1"/>
    <col min="8462" max="8467" width="10.140625" customWidth="1"/>
    <col min="8468" max="8468" width="3.7109375" customWidth="1"/>
    <col min="8469" max="8476" width="10.140625" customWidth="1"/>
    <col min="8477" max="8477" width="0.42578125" customWidth="1"/>
    <col min="8478" max="8490" width="10.140625" customWidth="1"/>
    <col min="8493" max="8493" width="3.7109375" customWidth="1"/>
    <col min="8508" max="8508" width="6.140625" customWidth="1"/>
    <col min="8515" max="8515" width="15.140625" customWidth="1"/>
    <col min="8516" max="8516" width="20.5703125" customWidth="1"/>
    <col min="8518" max="8518" width="10.5703125" customWidth="1"/>
    <col min="8519" max="8519" width="18.5703125" customWidth="1"/>
    <col min="8520" max="8520" width="14.42578125" customWidth="1"/>
    <col min="8521" max="8521" width="13.5703125" customWidth="1"/>
    <col min="8522" max="8522" width="12.42578125" customWidth="1"/>
    <col min="8523" max="8523" width="7.42578125" customWidth="1"/>
    <col min="8524" max="8524" width="17.85546875" customWidth="1"/>
    <col min="8525" max="8525" width="18.140625" customWidth="1"/>
    <col min="8526" max="8526" width="18.42578125" customWidth="1"/>
    <col min="8527" max="8527" width="19.28515625" customWidth="1"/>
    <col min="8528" max="8528" width="20.42578125" customWidth="1"/>
    <col min="8529" max="8529" width="35.140625" customWidth="1"/>
    <col min="8530" max="8530" width="11.85546875" customWidth="1"/>
    <col min="8531" max="8531" width="6.5703125" customWidth="1"/>
    <col min="8532" max="8532" width="7.85546875" customWidth="1"/>
    <col min="8533" max="8533" width="7.5703125" customWidth="1"/>
    <col min="8535" max="8535" width="7.85546875" customWidth="1"/>
    <col min="8705" max="8708" width="10.140625" customWidth="1"/>
    <col min="8709" max="8709" width="11.5703125" customWidth="1"/>
    <col min="8710" max="8715" width="10.140625" customWidth="1"/>
    <col min="8716" max="8716" width="9.140625" customWidth="1"/>
    <col min="8717" max="8717" width="6.5703125" customWidth="1"/>
    <col min="8718" max="8723" width="10.140625" customWidth="1"/>
    <col min="8724" max="8724" width="3.7109375" customWidth="1"/>
    <col min="8725" max="8732" width="10.140625" customWidth="1"/>
    <col min="8733" max="8733" width="0.42578125" customWidth="1"/>
    <col min="8734" max="8746" width="10.140625" customWidth="1"/>
    <col min="8749" max="8749" width="3.7109375" customWidth="1"/>
    <col min="8764" max="8764" width="6.140625" customWidth="1"/>
    <col min="8771" max="8771" width="15.140625" customWidth="1"/>
    <col min="8772" max="8772" width="20.5703125" customWidth="1"/>
    <col min="8774" max="8774" width="10.5703125" customWidth="1"/>
    <col min="8775" max="8775" width="18.5703125" customWidth="1"/>
    <col min="8776" max="8776" width="14.42578125" customWidth="1"/>
    <col min="8777" max="8777" width="13.5703125" customWidth="1"/>
    <col min="8778" max="8778" width="12.42578125" customWidth="1"/>
    <col min="8779" max="8779" width="7.42578125" customWidth="1"/>
    <col min="8780" max="8780" width="17.85546875" customWidth="1"/>
    <col min="8781" max="8781" width="18.140625" customWidth="1"/>
    <col min="8782" max="8782" width="18.42578125" customWidth="1"/>
    <col min="8783" max="8783" width="19.28515625" customWidth="1"/>
    <col min="8784" max="8784" width="20.42578125" customWidth="1"/>
    <col min="8785" max="8785" width="35.140625" customWidth="1"/>
    <col min="8786" max="8786" width="11.85546875" customWidth="1"/>
    <col min="8787" max="8787" width="6.5703125" customWidth="1"/>
    <col min="8788" max="8788" width="7.85546875" customWidth="1"/>
    <col min="8789" max="8789" width="7.5703125" customWidth="1"/>
    <col min="8791" max="8791" width="7.85546875" customWidth="1"/>
    <col min="8961" max="8964" width="10.140625" customWidth="1"/>
    <col min="8965" max="8965" width="11.5703125" customWidth="1"/>
    <col min="8966" max="8971" width="10.140625" customWidth="1"/>
    <col min="8972" max="8972" width="9.140625" customWidth="1"/>
    <col min="8973" max="8973" width="6.5703125" customWidth="1"/>
    <col min="8974" max="8979" width="10.140625" customWidth="1"/>
    <col min="8980" max="8980" width="3.7109375" customWidth="1"/>
    <col min="8981" max="8988" width="10.140625" customWidth="1"/>
    <col min="8989" max="8989" width="0.42578125" customWidth="1"/>
    <col min="8990" max="9002" width="10.140625" customWidth="1"/>
    <col min="9005" max="9005" width="3.7109375" customWidth="1"/>
    <col min="9020" max="9020" width="6.140625" customWidth="1"/>
    <col min="9027" max="9027" width="15.140625" customWidth="1"/>
    <col min="9028" max="9028" width="20.5703125" customWidth="1"/>
    <col min="9030" max="9030" width="10.5703125" customWidth="1"/>
    <col min="9031" max="9031" width="18.5703125" customWidth="1"/>
    <col min="9032" max="9032" width="14.42578125" customWidth="1"/>
    <col min="9033" max="9033" width="13.5703125" customWidth="1"/>
    <col min="9034" max="9034" width="12.42578125" customWidth="1"/>
    <col min="9035" max="9035" width="7.42578125" customWidth="1"/>
    <col min="9036" max="9036" width="17.85546875" customWidth="1"/>
    <col min="9037" max="9037" width="18.140625" customWidth="1"/>
    <col min="9038" max="9038" width="18.42578125" customWidth="1"/>
    <col min="9039" max="9039" width="19.28515625" customWidth="1"/>
    <col min="9040" max="9040" width="20.42578125" customWidth="1"/>
    <col min="9041" max="9041" width="35.140625" customWidth="1"/>
    <col min="9042" max="9042" width="11.85546875" customWidth="1"/>
    <col min="9043" max="9043" width="6.5703125" customWidth="1"/>
    <col min="9044" max="9044" width="7.85546875" customWidth="1"/>
    <col min="9045" max="9045" width="7.5703125" customWidth="1"/>
    <col min="9047" max="9047" width="7.85546875" customWidth="1"/>
    <col min="9217" max="9220" width="10.140625" customWidth="1"/>
    <col min="9221" max="9221" width="11.5703125" customWidth="1"/>
    <col min="9222" max="9227" width="10.140625" customWidth="1"/>
    <col min="9228" max="9228" width="9.140625" customWidth="1"/>
    <col min="9229" max="9229" width="6.5703125" customWidth="1"/>
    <col min="9230" max="9235" width="10.140625" customWidth="1"/>
    <col min="9236" max="9236" width="3.7109375" customWidth="1"/>
    <col min="9237" max="9244" width="10.140625" customWidth="1"/>
    <col min="9245" max="9245" width="0.42578125" customWidth="1"/>
    <col min="9246" max="9258" width="10.140625" customWidth="1"/>
    <col min="9261" max="9261" width="3.7109375" customWidth="1"/>
    <col min="9276" max="9276" width="6.140625" customWidth="1"/>
    <col min="9283" max="9283" width="15.140625" customWidth="1"/>
    <col min="9284" max="9284" width="20.5703125" customWidth="1"/>
    <col min="9286" max="9286" width="10.5703125" customWidth="1"/>
    <col min="9287" max="9287" width="18.5703125" customWidth="1"/>
    <col min="9288" max="9288" width="14.42578125" customWidth="1"/>
    <col min="9289" max="9289" width="13.5703125" customWidth="1"/>
    <col min="9290" max="9290" width="12.42578125" customWidth="1"/>
    <col min="9291" max="9291" width="7.42578125" customWidth="1"/>
    <col min="9292" max="9292" width="17.85546875" customWidth="1"/>
    <col min="9293" max="9293" width="18.140625" customWidth="1"/>
    <col min="9294" max="9294" width="18.42578125" customWidth="1"/>
    <col min="9295" max="9295" width="19.28515625" customWidth="1"/>
    <col min="9296" max="9296" width="20.42578125" customWidth="1"/>
    <col min="9297" max="9297" width="35.140625" customWidth="1"/>
    <col min="9298" max="9298" width="11.85546875" customWidth="1"/>
    <col min="9299" max="9299" width="6.5703125" customWidth="1"/>
    <col min="9300" max="9300" width="7.85546875" customWidth="1"/>
    <col min="9301" max="9301" width="7.5703125" customWidth="1"/>
    <col min="9303" max="9303" width="7.85546875" customWidth="1"/>
    <col min="9473" max="9476" width="10.140625" customWidth="1"/>
    <col min="9477" max="9477" width="11.5703125" customWidth="1"/>
    <col min="9478" max="9483" width="10.140625" customWidth="1"/>
    <col min="9484" max="9484" width="9.140625" customWidth="1"/>
    <col min="9485" max="9485" width="6.5703125" customWidth="1"/>
    <col min="9486" max="9491" width="10.140625" customWidth="1"/>
    <col min="9492" max="9492" width="3.7109375" customWidth="1"/>
    <col min="9493" max="9500" width="10.140625" customWidth="1"/>
    <col min="9501" max="9501" width="0.42578125" customWidth="1"/>
    <col min="9502" max="9514" width="10.140625" customWidth="1"/>
    <col min="9517" max="9517" width="3.7109375" customWidth="1"/>
    <col min="9532" max="9532" width="6.140625" customWidth="1"/>
    <col min="9539" max="9539" width="15.140625" customWidth="1"/>
    <col min="9540" max="9540" width="20.5703125" customWidth="1"/>
    <col min="9542" max="9542" width="10.5703125" customWidth="1"/>
    <col min="9543" max="9543" width="18.5703125" customWidth="1"/>
    <col min="9544" max="9544" width="14.42578125" customWidth="1"/>
    <col min="9545" max="9545" width="13.5703125" customWidth="1"/>
    <col min="9546" max="9546" width="12.42578125" customWidth="1"/>
    <col min="9547" max="9547" width="7.42578125" customWidth="1"/>
    <col min="9548" max="9548" width="17.85546875" customWidth="1"/>
    <col min="9549" max="9549" width="18.140625" customWidth="1"/>
    <col min="9550" max="9550" width="18.42578125" customWidth="1"/>
    <col min="9551" max="9551" width="19.28515625" customWidth="1"/>
    <col min="9552" max="9552" width="20.42578125" customWidth="1"/>
    <col min="9553" max="9553" width="35.140625" customWidth="1"/>
    <col min="9554" max="9554" width="11.85546875" customWidth="1"/>
    <col min="9555" max="9555" width="6.5703125" customWidth="1"/>
    <col min="9556" max="9556" width="7.85546875" customWidth="1"/>
    <col min="9557" max="9557" width="7.5703125" customWidth="1"/>
    <col min="9559" max="9559" width="7.85546875" customWidth="1"/>
    <col min="9729" max="9732" width="10.140625" customWidth="1"/>
    <col min="9733" max="9733" width="11.5703125" customWidth="1"/>
    <col min="9734" max="9739" width="10.140625" customWidth="1"/>
    <col min="9740" max="9740" width="9.140625" customWidth="1"/>
    <col min="9741" max="9741" width="6.5703125" customWidth="1"/>
    <col min="9742" max="9747" width="10.140625" customWidth="1"/>
    <col min="9748" max="9748" width="3.7109375" customWidth="1"/>
    <col min="9749" max="9756" width="10.140625" customWidth="1"/>
    <col min="9757" max="9757" width="0.42578125" customWidth="1"/>
    <col min="9758" max="9770" width="10.140625" customWidth="1"/>
    <col min="9773" max="9773" width="3.7109375" customWidth="1"/>
    <col min="9788" max="9788" width="6.140625" customWidth="1"/>
    <col min="9795" max="9795" width="15.140625" customWidth="1"/>
    <col min="9796" max="9796" width="20.5703125" customWidth="1"/>
    <col min="9798" max="9798" width="10.5703125" customWidth="1"/>
    <col min="9799" max="9799" width="18.5703125" customWidth="1"/>
    <col min="9800" max="9800" width="14.42578125" customWidth="1"/>
    <col min="9801" max="9801" width="13.5703125" customWidth="1"/>
    <col min="9802" max="9802" width="12.42578125" customWidth="1"/>
    <col min="9803" max="9803" width="7.42578125" customWidth="1"/>
    <col min="9804" max="9804" width="17.85546875" customWidth="1"/>
    <col min="9805" max="9805" width="18.140625" customWidth="1"/>
    <col min="9806" max="9806" width="18.42578125" customWidth="1"/>
    <col min="9807" max="9807" width="19.28515625" customWidth="1"/>
    <col min="9808" max="9808" width="20.42578125" customWidth="1"/>
    <col min="9809" max="9809" width="35.140625" customWidth="1"/>
    <col min="9810" max="9810" width="11.85546875" customWidth="1"/>
    <col min="9811" max="9811" width="6.5703125" customWidth="1"/>
    <col min="9812" max="9812" width="7.85546875" customWidth="1"/>
    <col min="9813" max="9813" width="7.5703125" customWidth="1"/>
    <col min="9815" max="9815" width="7.85546875" customWidth="1"/>
    <col min="9985" max="9988" width="10.140625" customWidth="1"/>
    <col min="9989" max="9989" width="11.5703125" customWidth="1"/>
    <col min="9990" max="9995" width="10.140625" customWidth="1"/>
    <col min="9996" max="9996" width="9.140625" customWidth="1"/>
    <col min="9997" max="9997" width="6.5703125" customWidth="1"/>
    <col min="9998" max="10003" width="10.140625" customWidth="1"/>
    <col min="10004" max="10004" width="3.7109375" customWidth="1"/>
    <col min="10005" max="10012" width="10.140625" customWidth="1"/>
    <col min="10013" max="10013" width="0.42578125" customWidth="1"/>
    <col min="10014" max="10026" width="10.140625" customWidth="1"/>
    <col min="10029" max="10029" width="3.7109375" customWidth="1"/>
    <col min="10044" max="10044" width="6.140625" customWidth="1"/>
    <col min="10051" max="10051" width="15.140625" customWidth="1"/>
    <col min="10052" max="10052" width="20.5703125" customWidth="1"/>
    <col min="10054" max="10054" width="10.5703125" customWidth="1"/>
    <col min="10055" max="10055" width="18.5703125" customWidth="1"/>
    <col min="10056" max="10056" width="14.42578125" customWidth="1"/>
    <col min="10057" max="10057" width="13.5703125" customWidth="1"/>
    <col min="10058" max="10058" width="12.42578125" customWidth="1"/>
    <col min="10059" max="10059" width="7.42578125" customWidth="1"/>
    <col min="10060" max="10060" width="17.85546875" customWidth="1"/>
    <col min="10061" max="10061" width="18.140625" customWidth="1"/>
    <col min="10062" max="10062" width="18.42578125" customWidth="1"/>
    <col min="10063" max="10063" width="19.28515625" customWidth="1"/>
    <col min="10064" max="10064" width="20.42578125" customWidth="1"/>
    <col min="10065" max="10065" width="35.140625" customWidth="1"/>
    <col min="10066" max="10066" width="11.85546875" customWidth="1"/>
    <col min="10067" max="10067" width="6.5703125" customWidth="1"/>
    <col min="10068" max="10068" width="7.85546875" customWidth="1"/>
    <col min="10069" max="10069" width="7.5703125" customWidth="1"/>
    <col min="10071" max="10071" width="7.85546875" customWidth="1"/>
    <col min="10241" max="10244" width="10.140625" customWidth="1"/>
    <col min="10245" max="10245" width="11.5703125" customWidth="1"/>
    <col min="10246" max="10251" width="10.140625" customWidth="1"/>
    <col min="10252" max="10252" width="9.140625" customWidth="1"/>
    <col min="10253" max="10253" width="6.5703125" customWidth="1"/>
    <col min="10254" max="10259" width="10.140625" customWidth="1"/>
    <col min="10260" max="10260" width="3.7109375" customWidth="1"/>
    <col min="10261" max="10268" width="10.140625" customWidth="1"/>
    <col min="10269" max="10269" width="0.42578125" customWidth="1"/>
    <col min="10270" max="10282" width="10.140625" customWidth="1"/>
    <col min="10285" max="10285" width="3.7109375" customWidth="1"/>
    <col min="10300" max="10300" width="6.140625" customWidth="1"/>
    <col min="10307" max="10307" width="15.140625" customWidth="1"/>
    <col min="10308" max="10308" width="20.5703125" customWidth="1"/>
    <col min="10310" max="10310" width="10.5703125" customWidth="1"/>
    <col min="10311" max="10311" width="18.5703125" customWidth="1"/>
    <col min="10312" max="10312" width="14.42578125" customWidth="1"/>
    <col min="10313" max="10313" width="13.5703125" customWidth="1"/>
    <col min="10314" max="10314" width="12.42578125" customWidth="1"/>
    <col min="10315" max="10315" width="7.42578125" customWidth="1"/>
    <col min="10316" max="10316" width="17.85546875" customWidth="1"/>
    <col min="10317" max="10317" width="18.140625" customWidth="1"/>
    <col min="10318" max="10318" width="18.42578125" customWidth="1"/>
    <col min="10319" max="10319" width="19.28515625" customWidth="1"/>
    <col min="10320" max="10320" width="20.42578125" customWidth="1"/>
    <col min="10321" max="10321" width="35.140625" customWidth="1"/>
    <col min="10322" max="10322" width="11.85546875" customWidth="1"/>
    <col min="10323" max="10323" width="6.5703125" customWidth="1"/>
    <col min="10324" max="10324" width="7.85546875" customWidth="1"/>
    <col min="10325" max="10325" width="7.5703125" customWidth="1"/>
    <col min="10327" max="10327" width="7.85546875" customWidth="1"/>
    <col min="10497" max="10500" width="10.140625" customWidth="1"/>
    <col min="10501" max="10501" width="11.5703125" customWidth="1"/>
    <col min="10502" max="10507" width="10.140625" customWidth="1"/>
    <col min="10508" max="10508" width="9.140625" customWidth="1"/>
    <col min="10509" max="10509" width="6.5703125" customWidth="1"/>
    <col min="10510" max="10515" width="10.140625" customWidth="1"/>
    <col min="10516" max="10516" width="3.7109375" customWidth="1"/>
    <col min="10517" max="10524" width="10.140625" customWidth="1"/>
    <col min="10525" max="10525" width="0.42578125" customWidth="1"/>
    <col min="10526" max="10538" width="10.140625" customWidth="1"/>
    <col min="10541" max="10541" width="3.7109375" customWidth="1"/>
    <col min="10556" max="10556" width="6.140625" customWidth="1"/>
    <col min="10563" max="10563" width="15.140625" customWidth="1"/>
    <col min="10564" max="10564" width="20.5703125" customWidth="1"/>
    <col min="10566" max="10566" width="10.5703125" customWidth="1"/>
    <col min="10567" max="10567" width="18.5703125" customWidth="1"/>
    <col min="10568" max="10568" width="14.42578125" customWidth="1"/>
    <col min="10569" max="10569" width="13.5703125" customWidth="1"/>
    <col min="10570" max="10570" width="12.42578125" customWidth="1"/>
    <col min="10571" max="10571" width="7.42578125" customWidth="1"/>
    <col min="10572" max="10572" width="17.85546875" customWidth="1"/>
    <col min="10573" max="10573" width="18.140625" customWidth="1"/>
    <col min="10574" max="10574" width="18.42578125" customWidth="1"/>
    <col min="10575" max="10575" width="19.28515625" customWidth="1"/>
    <col min="10576" max="10576" width="20.42578125" customWidth="1"/>
    <col min="10577" max="10577" width="35.140625" customWidth="1"/>
    <col min="10578" max="10578" width="11.85546875" customWidth="1"/>
    <col min="10579" max="10579" width="6.5703125" customWidth="1"/>
    <col min="10580" max="10580" width="7.85546875" customWidth="1"/>
    <col min="10581" max="10581" width="7.5703125" customWidth="1"/>
    <col min="10583" max="10583" width="7.85546875" customWidth="1"/>
    <col min="10753" max="10756" width="10.140625" customWidth="1"/>
    <col min="10757" max="10757" width="11.5703125" customWidth="1"/>
    <col min="10758" max="10763" width="10.140625" customWidth="1"/>
    <col min="10764" max="10764" width="9.140625" customWidth="1"/>
    <col min="10765" max="10765" width="6.5703125" customWidth="1"/>
    <col min="10766" max="10771" width="10.140625" customWidth="1"/>
    <col min="10772" max="10772" width="3.7109375" customWidth="1"/>
    <col min="10773" max="10780" width="10.140625" customWidth="1"/>
    <col min="10781" max="10781" width="0.42578125" customWidth="1"/>
    <col min="10782" max="10794" width="10.140625" customWidth="1"/>
    <col min="10797" max="10797" width="3.7109375" customWidth="1"/>
    <col min="10812" max="10812" width="6.140625" customWidth="1"/>
    <col min="10819" max="10819" width="15.140625" customWidth="1"/>
    <col min="10820" max="10820" width="20.5703125" customWidth="1"/>
    <col min="10822" max="10822" width="10.5703125" customWidth="1"/>
    <col min="10823" max="10823" width="18.5703125" customWidth="1"/>
    <col min="10824" max="10824" width="14.42578125" customWidth="1"/>
    <col min="10825" max="10825" width="13.5703125" customWidth="1"/>
    <col min="10826" max="10826" width="12.42578125" customWidth="1"/>
    <col min="10827" max="10827" width="7.42578125" customWidth="1"/>
    <col min="10828" max="10828" width="17.85546875" customWidth="1"/>
    <col min="10829" max="10829" width="18.140625" customWidth="1"/>
    <col min="10830" max="10830" width="18.42578125" customWidth="1"/>
    <col min="10831" max="10831" width="19.28515625" customWidth="1"/>
    <col min="10832" max="10832" width="20.42578125" customWidth="1"/>
    <col min="10833" max="10833" width="35.140625" customWidth="1"/>
    <col min="10834" max="10834" width="11.85546875" customWidth="1"/>
    <col min="10835" max="10835" width="6.5703125" customWidth="1"/>
    <col min="10836" max="10836" width="7.85546875" customWidth="1"/>
    <col min="10837" max="10837" width="7.5703125" customWidth="1"/>
    <col min="10839" max="10839" width="7.85546875" customWidth="1"/>
    <col min="11009" max="11012" width="10.140625" customWidth="1"/>
    <col min="11013" max="11013" width="11.5703125" customWidth="1"/>
    <col min="11014" max="11019" width="10.140625" customWidth="1"/>
    <col min="11020" max="11020" width="9.140625" customWidth="1"/>
    <col min="11021" max="11021" width="6.5703125" customWidth="1"/>
    <col min="11022" max="11027" width="10.140625" customWidth="1"/>
    <col min="11028" max="11028" width="3.7109375" customWidth="1"/>
    <col min="11029" max="11036" width="10.140625" customWidth="1"/>
    <col min="11037" max="11037" width="0.42578125" customWidth="1"/>
    <col min="11038" max="11050" width="10.140625" customWidth="1"/>
    <col min="11053" max="11053" width="3.7109375" customWidth="1"/>
    <col min="11068" max="11068" width="6.140625" customWidth="1"/>
    <col min="11075" max="11075" width="15.140625" customWidth="1"/>
    <col min="11076" max="11076" width="20.5703125" customWidth="1"/>
    <col min="11078" max="11078" width="10.5703125" customWidth="1"/>
    <col min="11079" max="11079" width="18.5703125" customWidth="1"/>
    <col min="11080" max="11080" width="14.42578125" customWidth="1"/>
    <col min="11081" max="11081" width="13.5703125" customWidth="1"/>
    <col min="11082" max="11082" width="12.42578125" customWidth="1"/>
    <col min="11083" max="11083" width="7.42578125" customWidth="1"/>
    <col min="11084" max="11084" width="17.85546875" customWidth="1"/>
    <col min="11085" max="11085" width="18.140625" customWidth="1"/>
    <col min="11086" max="11086" width="18.42578125" customWidth="1"/>
    <col min="11087" max="11087" width="19.28515625" customWidth="1"/>
    <col min="11088" max="11088" width="20.42578125" customWidth="1"/>
    <col min="11089" max="11089" width="35.140625" customWidth="1"/>
    <col min="11090" max="11090" width="11.85546875" customWidth="1"/>
    <col min="11091" max="11091" width="6.5703125" customWidth="1"/>
    <col min="11092" max="11092" width="7.85546875" customWidth="1"/>
    <col min="11093" max="11093" width="7.5703125" customWidth="1"/>
    <col min="11095" max="11095" width="7.85546875" customWidth="1"/>
    <col min="11265" max="11268" width="10.140625" customWidth="1"/>
    <col min="11269" max="11269" width="11.5703125" customWidth="1"/>
    <col min="11270" max="11275" width="10.140625" customWidth="1"/>
    <col min="11276" max="11276" width="9.140625" customWidth="1"/>
    <col min="11277" max="11277" width="6.5703125" customWidth="1"/>
    <col min="11278" max="11283" width="10.140625" customWidth="1"/>
    <col min="11284" max="11284" width="3.7109375" customWidth="1"/>
    <col min="11285" max="11292" width="10.140625" customWidth="1"/>
    <col min="11293" max="11293" width="0.42578125" customWidth="1"/>
    <col min="11294" max="11306" width="10.140625" customWidth="1"/>
    <col min="11309" max="11309" width="3.7109375" customWidth="1"/>
    <col min="11324" max="11324" width="6.140625" customWidth="1"/>
    <col min="11331" max="11331" width="15.140625" customWidth="1"/>
    <col min="11332" max="11332" width="20.5703125" customWidth="1"/>
    <col min="11334" max="11334" width="10.5703125" customWidth="1"/>
    <col min="11335" max="11335" width="18.5703125" customWidth="1"/>
    <col min="11336" max="11336" width="14.42578125" customWidth="1"/>
    <col min="11337" max="11337" width="13.5703125" customWidth="1"/>
    <col min="11338" max="11338" width="12.42578125" customWidth="1"/>
    <col min="11339" max="11339" width="7.42578125" customWidth="1"/>
    <col min="11340" max="11340" width="17.85546875" customWidth="1"/>
    <col min="11341" max="11341" width="18.140625" customWidth="1"/>
    <col min="11342" max="11342" width="18.42578125" customWidth="1"/>
    <col min="11343" max="11343" width="19.28515625" customWidth="1"/>
    <col min="11344" max="11344" width="20.42578125" customWidth="1"/>
    <col min="11345" max="11345" width="35.140625" customWidth="1"/>
    <col min="11346" max="11346" width="11.85546875" customWidth="1"/>
    <col min="11347" max="11347" width="6.5703125" customWidth="1"/>
    <col min="11348" max="11348" width="7.85546875" customWidth="1"/>
    <col min="11349" max="11349" width="7.5703125" customWidth="1"/>
    <col min="11351" max="11351" width="7.85546875" customWidth="1"/>
    <col min="11521" max="11524" width="10.140625" customWidth="1"/>
    <col min="11525" max="11525" width="11.5703125" customWidth="1"/>
    <col min="11526" max="11531" width="10.140625" customWidth="1"/>
    <col min="11532" max="11532" width="9.140625" customWidth="1"/>
    <col min="11533" max="11533" width="6.5703125" customWidth="1"/>
    <col min="11534" max="11539" width="10.140625" customWidth="1"/>
    <col min="11540" max="11540" width="3.7109375" customWidth="1"/>
    <col min="11541" max="11548" width="10.140625" customWidth="1"/>
    <col min="11549" max="11549" width="0.42578125" customWidth="1"/>
    <col min="11550" max="11562" width="10.140625" customWidth="1"/>
    <col min="11565" max="11565" width="3.7109375" customWidth="1"/>
    <col min="11580" max="11580" width="6.140625" customWidth="1"/>
    <col min="11587" max="11587" width="15.140625" customWidth="1"/>
    <col min="11588" max="11588" width="20.5703125" customWidth="1"/>
    <col min="11590" max="11590" width="10.5703125" customWidth="1"/>
    <col min="11591" max="11591" width="18.5703125" customWidth="1"/>
    <col min="11592" max="11592" width="14.42578125" customWidth="1"/>
    <col min="11593" max="11593" width="13.5703125" customWidth="1"/>
    <col min="11594" max="11594" width="12.42578125" customWidth="1"/>
    <col min="11595" max="11595" width="7.42578125" customWidth="1"/>
    <col min="11596" max="11596" width="17.85546875" customWidth="1"/>
    <col min="11597" max="11597" width="18.140625" customWidth="1"/>
    <col min="11598" max="11598" width="18.42578125" customWidth="1"/>
    <col min="11599" max="11599" width="19.28515625" customWidth="1"/>
    <col min="11600" max="11600" width="20.42578125" customWidth="1"/>
    <col min="11601" max="11601" width="35.140625" customWidth="1"/>
    <col min="11602" max="11602" width="11.85546875" customWidth="1"/>
    <col min="11603" max="11603" width="6.5703125" customWidth="1"/>
    <col min="11604" max="11604" width="7.85546875" customWidth="1"/>
    <col min="11605" max="11605" width="7.5703125" customWidth="1"/>
    <col min="11607" max="11607" width="7.85546875" customWidth="1"/>
    <col min="11777" max="11780" width="10.140625" customWidth="1"/>
    <col min="11781" max="11781" width="11.5703125" customWidth="1"/>
    <col min="11782" max="11787" width="10.140625" customWidth="1"/>
    <col min="11788" max="11788" width="9.140625" customWidth="1"/>
    <col min="11789" max="11789" width="6.5703125" customWidth="1"/>
    <col min="11790" max="11795" width="10.140625" customWidth="1"/>
    <col min="11796" max="11796" width="3.7109375" customWidth="1"/>
    <col min="11797" max="11804" width="10.140625" customWidth="1"/>
    <col min="11805" max="11805" width="0.42578125" customWidth="1"/>
    <col min="11806" max="11818" width="10.140625" customWidth="1"/>
    <col min="11821" max="11821" width="3.7109375" customWidth="1"/>
    <col min="11836" max="11836" width="6.140625" customWidth="1"/>
    <col min="11843" max="11843" width="15.140625" customWidth="1"/>
    <col min="11844" max="11844" width="20.5703125" customWidth="1"/>
    <col min="11846" max="11846" width="10.5703125" customWidth="1"/>
    <col min="11847" max="11847" width="18.5703125" customWidth="1"/>
    <col min="11848" max="11848" width="14.42578125" customWidth="1"/>
    <col min="11849" max="11849" width="13.5703125" customWidth="1"/>
    <col min="11850" max="11850" width="12.42578125" customWidth="1"/>
    <col min="11851" max="11851" width="7.42578125" customWidth="1"/>
    <col min="11852" max="11852" width="17.85546875" customWidth="1"/>
    <col min="11853" max="11853" width="18.140625" customWidth="1"/>
    <col min="11854" max="11854" width="18.42578125" customWidth="1"/>
    <col min="11855" max="11855" width="19.28515625" customWidth="1"/>
    <col min="11856" max="11856" width="20.42578125" customWidth="1"/>
    <col min="11857" max="11857" width="35.140625" customWidth="1"/>
    <col min="11858" max="11858" width="11.85546875" customWidth="1"/>
    <col min="11859" max="11859" width="6.5703125" customWidth="1"/>
    <col min="11860" max="11860" width="7.85546875" customWidth="1"/>
    <col min="11861" max="11861" width="7.5703125" customWidth="1"/>
    <col min="11863" max="11863" width="7.85546875" customWidth="1"/>
    <col min="12033" max="12036" width="10.140625" customWidth="1"/>
    <col min="12037" max="12037" width="11.5703125" customWidth="1"/>
    <col min="12038" max="12043" width="10.140625" customWidth="1"/>
    <col min="12044" max="12044" width="9.140625" customWidth="1"/>
    <col min="12045" max="12045" width="6.5703125" customWidth="1"/>
    <col min="12046" max="12051" width="10.140625" customWidth="1"/>
    <col min="12052" max="12052" width="3.7109375" customWidth="1"/>
    <col min="12053" max="12060" width="10.140625" customWidth="1"/>
    <col min="12061" max="12061" width="0.42578125" customWidth="1"/>
    <col min="12062" max="12074" width="10.140625" customWidth="1"/>
    <col min="12077" max="12077" width="3.7109375" customWidth="1"/>
    <col min="12092" max="12092" width="6.140625" customWidth="1"/>
    <col min="12099" max="12099" width="15.140625" customWidth="1"/>
    <col min="12100" max="12100" width="20.5703125" customWidth="1"/>
    <col min="12102" max="12102" width="10.5703125" customWidth="1"/>
    <col min="12103" max="12103" width="18.5703125" customWidth="1"/>
    <col min="12104" max="12104" width="14.42578125" customWidth="1"/>
    <col min="12105" max="12105" width="13.5703125" customWidth="1"/>
    <col min="12106" max="12106" width="12.42578125" customWidth="1"/>
    <col min="12107" max="12107" width="7.42578125" customWidth="1"/>
    <col min="12108" max="12108" width="17.85546875" customWidth="1"/>
    <col min="12109" max="12109" width="18.140625" customWidth="1"/>
    <col min="12110" max="12110" width="18.42578125" customWidth="1"/>
    <col min="12111" max="12111" width="19.28515625" customWidth="1"/>
    <col min="12112" max="12112" width="20.42578125" customWidth="1"/>
    <col min="12113" max="12113" width="35.140625" customWidth="1"/>
    <col min="12114" max="12114" width="11.85546875" customWidth="1"/>
    <col min="12115" max="12115" width="6.5703125" customWidth="1"/>
    <col min="12116" max="12116" width="7.85546875" customWidth="1"/>
    <col min="12117" max="12117" width="7.5703125" customWidth="1"/>
    <col min="12119" max="12119" width="7.85546875" customWidth="1"/>
    <col min="12289" max="12292" width="10.140625" customWidth="1"/>
    <col min="12293" max="12293" width="11.5703125" customWidth="1"/>
    <col min="12294" max="12299" width="10.140625" customWidth="1"/>
    <col min="12300" max="12300" width="9.140625" customWidth="1"/>
    <col min="12301" max="12301" width="6.5703125" customWidth="1"/>
    <col min="12302" max="12307" width="10.140625" customWidth="1"/>
    <col min="12308" max="12308" width="3.7109375" customWidth="1"/>
    <col min="12309" max="12316" width="10.140625" customWidth="1"/>
    <col min="12317" max="12317" width="0.42578125" customWidth="1"/>
    <col min="12318" max="12330" width="10.140625" customWidth="1"/>
    <col min="12333" max="12333" width="3.7109375" customWidth="1"/>
    <col min="12348" max="12348" width="6.140625" customWidth="1"/>
    <col min="12355" max="12355" width="15.140625" customWidth="1"/>
    <col min="12356" max="12356" width="20.5703125" customWidth="1"/>
    <col min="12358" max="12358" width="10.5703125" customWidth="1"/>
    <col min="12359" max="12359" width="18.5703125" customWidth="1"/>
    <col min="12360" max="12360" width="14.42578125" customWidth="1"/>
    <col min="12361" max="12361" width="13.5703125" customWidth="1"/>
    <col min="12362" max="12362" width="12.42578125" customWidth="1"/>
    <col min="12363" max="12363" width="7.42578125" customWidth="1"/>
    <col min="12364" max="12364" width="17.85546875" customWidth="1"/>
    <col min="12365" max="12365" width="18.140625" customWidth="1"/>
    <col min="12366" max="12366" width="18.42578125" customWidth="1"/>
    <col min="12367" max="12367" width="19.28515625" customWidth="1"/>
    <col min="12368" max="12368" width="20.42578125" customWidth="1"/>
    <col min="12369" max="12369" width="35.140625" customWidth="1"/>
    <col min="12370" max="12370" width="11.85546875" customWidth="1"/>
    <col min="12371" max="12371" width="6.5703125" customWidth="1"/>
    <col min="12372" max="12372" width="7.85546875" customWidth="1"/>
    <col min="12373" max="12373" width="7.5703125" customWidth="1"/>
    <col min="12375" max="12375" width="7.85546875" customWidth="1"/>
    <col min="12545" max="12548" width="10.140625" customWidth="1"/>
    <col min="12549" max="12549" width="11.5703125" customWidth="1"/>
    <col min="12550" max="12555" width="10.140625" customWidth="1"/>
    <col min="12556" max="12556" width="9.140625" customWidth="1"/>
    <col min="12557" max="12557" width="6.5703125" customWidth="1"/>
    <col min="12558" max="12563" width="10.140625" customWidth="1"/>
    <col min="12564" max="12564" width="3.7109375" customWidth="1"/>
    <col min="12565" max="12572" width="10.140625" customWidth="1"/>
    <col min="12573" max="12573" width="0.42578125" customWidth="1"/>
    <col min="12574" max="12586" width="10.140625" customWidth="1"/>
    <col min="12589" max="12589" width="3.7109375" customWidth="1"/>
    <col min="12604" max="12604" width="6.140625" customWidth="1"/>
    <col min="12611" max="12611" width="15.140625" customWidth="1"/>
    <col min="12612" max="12612" width="20.5703125" customWidth="1"/>
    <col min="12614" max="12614" width="10.5703125" customWidth="1"/>
    <col min="12615" max="12615" width="18.5703125" customWidth="1"/>
    <col min="12616" max="12616" width="14.42578125" customWidth="1"/>
    <col min="12617" max="12617" width="13.5703125" customWidth="1"/>
    <col min="12618" max="12618" width="12.42578125" customWidth="1"/>
    <col min="12619" max="12619" width="7.42578125" customWidth="1"/>
    <col min="12620" max="12620" width="17.85546875" customWidth="1"/>
    <col min="12621" max="12621" width="18.140625" customWidth="1"/>
    <col min="12622" max="12622" width="18.42578125" customWidth="1"/>
    <col min="12623" max="12623" width="19.28515625" customWidth="1"/>
    <col min="12624" max="12624" width="20.42578125" customWidth="1"/>
    <col min="12625" max="12625" width="35.140625" customWidth="1"/>
    <col min="12626" max="12626" width="11.85546875" customWidth="1"/>
    <col min="12627" max="12627" width="6.5703125" customWidth="1"/>
    <col min="12628" max="12628" width="7.85546875" customWidth="1"/>
    <col min="12629" max="12629" width="7.5703125" customWidth="1"/>
    <col min="12631" max="12631" width="7.85546875" customWidth="1"/>
    <col min="12801" max="12804" width="10.140625" customWidth="1"/>
    <col min="12805" max="12805" width="11.5703125" customWidth="1"/>
    <col min="12806" max="12811" width="10.140625" customWidth="1"/>
    <col min="12812" max="12812" width="9.140625" customWidth="1"/>
    <col min="12813" max="12813" width="6.5703125" customWidth="1"/>
    <col min="12814" max="12819" width="10.140625" customWidth="1"/>
    <col min="12820" max="12820" width="3.7109375" customWidth="1"/>
    <col min="12821" max="12828" width="10.140625" customWidth="1"/>
    <col min="12829" max="12829" width="0.42578125" customWidth="1"/>
    <col min="12830" max="12842" width="10.140625" customWidth="1"/>
    <col min="12845" max="12845" width="3.7109375" customWidth="1"/>
    <col min="12860" max="12860" width="6.140625" customWidth="1"/>
    <col min="12867" max="12867" width="15.140625" customWidth="1"/>
    <col min="12868" max="12868" width="20.5703125" customWidth="1"/>
    <col min="12870" max="12870" width="10.5703125" customWidth="1"/>
    <col min="12871" max="12871" width="18.5703125" customWidth="1"/>
    <col min="12872" max="12872" width="14.42578125" customWidth="1"/>
    <col min="12873" max="12873" width="13.5703125" customWidth="1"/>
    <col min="12874" max="12874" width="12.42578125" customWidth="1"/>
    <col min="12875" max="12875" width="7.42578125" customWidth="1"/>
    <col min="12876" max="12876" width="17.85546875" customWidth="1"/>
    <col min="12877" max="12877" width="18.140625" customWidth="1"/>
    <col min="12878" max="12878" width="18.42578125" customWidth="1"/>
    <col min="12879" max="12879" width="19.28515625" customWidth="1"/>
    <col min="12880" max="12880" width="20.42578125" customWidth="1"/>
    <col min="12881" max="12881" width="35.140625" customWidth="1"/>
    <col min="12882" max="12882" width="11.85546875" customWidth="1"/>
    <col min="12883" max="12883" width="6.5703125" customWidth="1"/>
    <col min="12884" max="12884" width="7.85546875" customWidth="1"/>
    <col min="12885" max="12885" width="7.5703125" customWidth="1"/>
    <col min="12887" max="12887" width="7.85546875" customWidth="1"/>
    <col min="13057" max="13060" width="10.140625" customWidth="1"/>
    <col min="13061" max="13061" width="11.5703125" customWidth="1"/>
    <col min="13062" max="13067" width="10.140625" customWidth="1"/>
    <col min="13068" max="13068" width="9.140625" customWidth="1"/>
    <col min="13069" max="13069" width="6.5703125" customWidth="1"/>
    <col min="13070" max="13075" width="10.140625" customWidth="1"/>
    <col min="13076" max="13076" width="3.7109375" customWidth="1"/>
    <col min="13077" max="13084" width="10.140625" customWidth="1"/>
    <col min="13085" max="13085" width="0.42578125" customWidth="1"/>
    <col min="13086" max="13098" width="10.140625" customWidth="1"/>
    <col min="13101" max="13101" width="3.7109375" customWidth="1"/>
    <col min="13116" max="13116" width="6.140625" customWidth="1"/>
    <col min="13123" max="13123" width="15.140625" customWidth="1"/>
    <col min="13124" max="13124" width="20.5703125" customWidth="1"/>
    <col min="13126" max="13126" width="10.5703125" customWidth="1"/>
    <col min="13127" max="13127" width="18.5703125" customWidth="1"/>
    <col min="13128" max="13128" width="14.42578125" customWidth="1"/>
    <col min="13129" max="13129" width="13.5703125" customWidth="1"/>
    <col min="13130" max="13130" width="12.42578125" customWidth="1"/>
    <col min="13131" max="13131" width="7.42578125" customWidth="1"/>
    <col min="13132" max="13132" width="17.85546875" customWidth="1"/>
    <col min="13133" max="13133" width="18.140625" customWidth="1"/>
    <col min="13134" max="13134" width="18.42578125" customWidth="1"/>
    <col min="13135" max="13135" width="19.28515625" customWidth="1"/>
    <col min="13136" max="13136" width="20.42578125" customWidth="1"/>
    <col min="13137" max="13137" width="35.140625" customWidth="1"/>
    <col min="13138" max="13138" width="11.85546875" customWidth="1"/>
    <col min="13139" max="13139" width="6.5703125" customWidth="1"/>
    <col min="13140" max="13140" width="7.85546875" customWidth="1"/>
    <col min="13141" max="13141" width="7.5703125" customWidth="1"/>
    <col min="13143" max="13143" width="7.85546875" customWidth="1"/>
    <col min="13313" max="13316" width="10.140625" customWidth="1"/>
    <col min="13317" max="13317" width="11.5703125" customWidth="1"/>
    <col min="13318" max="13323" width="10.140625" customWidth="1"/>
    <col min="13324" max="13324" width="9.140625" customWidth="1"/>
    <col min="13325" max="13325" width="6.5703125" customWidth="1"/>
    <col min="13326" max="13331" width="10.140625" customWidth="1"/>
    <col min="13332" max="13332" width="3.7109375" customWidth="1"/>
    <col min="13333" max="13340" width="10.140625" customWidth="1"/>
    <col min="13341" max="13341" width="0.42578125" customWidth="1"/>
    <col min="13342" max="13354" width="10.140625" customWidth="1"/>
    <col min="13357" max="13357" width="3.7109375" customWidth="1"/>
    <col min="13372" max="13372" width="6.140625" customWidth="1"/>
    <col min="13379" max="13379" width="15.140625" customWidth="1"/>
    <col min="13380" max="13380" width="20.5703125" customWidth="1"/>
    <col min="13382" max="13382" width="10.5703125" customWidth="1"/>
    <col min="13383" max="13383" width="18.5703125" customWidth="1"/>
    <col min="13384" max="13384" width="14.42578125" customWidth="1"/>
    <col min="13385" max="13385" width="13.5703125" customWidth="1"/>
    <col min="13386" max="13386" width="12.42578125" customWidth="1"/>
    <col min="13387" max="13387" width="7.42578125" customWidth="1"/>
    <col min="13388" max="13388" width="17.85546875" customWidth="1"/>
    <col min="13389" max="13389" width="18.140625" customWidth="1"/>
    <col min="13390" max="13390" width="18.42578125" customWidth="1"/>
    <col min="13391" max="13391" width="19.28515625" customWidth="1"/>
    <col min="13392" max="13392" width="20.42578125" customWidth="1"/>
    <col min="13393" max="13393" width="35.140625" customWidth="1"/>
    <col min="13394" max="13394" width="11.85546875" customWidth="1"/>
    <col min="13395" max="13395" width="6.5703125" customWidth="1"/>
    <col min="13396" max="13396" width="7.85546875" customWidth="1"/>
    <col min="13397" max="13397" width="7.5703125" customWidth="1"/>
    <col min="13399" max="13399" width="7.85546875" customWidth="1"/>
    <col min="13569" max="13572" width="10.140625" customWidth="1"/>
    <col min="13573" max="13573" width="11.5703125" customWidth="1"/>
    <col min="13574" max="13579" width="10.140625" customWidth="1"/>
    <col min="13580" max="13580" width="9.140625" customWidth="1"/>
    <col min="13581" max="13581" width="6.5703125" customWidth="1"/>
    <col min="13582" max="13587" width="10.140625" customWidth="1"/>
    <col min="13588" max="13588" width="3.7109375" customWidth="1"/>
    <col min="13589" max="13596" width="10.140625" customWidth="1"/>
    <col min="13597" max="13597" width="0.42578125" customWidth="1"/>
    <col min="13598" max="13610" width="10.140625" customWidth="1"/>
    <col min="13613" max="13613" width="3.7109375" customWidth="1"/>
    <col min="13628" max="13628" width="6.140625" customWidth="1"/>
    <col min="13635" max="13635" width="15.140625" customWidth="1"/>
    <col min="13636" max="13636" width="20.5703125" customWidth="1"/>
    <col min="13638" max="13638" width="10.5703125" customWidth="1"/>
    <col min="13639" max="13639" width="18.5703125" customWidth="1"/>
    <col min="13640" max="13640" width="14.42578125" customWidth="1"/>
    <col min="13641" max="13641" width="13.5703125" customWidth="1"/>
    <col min="13642" max="13642" width="12.42578125" customWidth="1"/>
    <col min="13643" max="13643" width="7.42578125" customWidth="1"/>
    <col min="13644" max="13644" width="17.85546875" customWidth="1"/>
    <col min="13645" max="13645" width="18.140625" customWidth="1"/>
    <col min="13646" max="13646" width="18.42578125" customWidth="1"/>
    <col min="13647" max="13647" width="19.28515625" customWidth="1"/>
    <col min="13648" max="13648" width="20.42578125" customWidth="1"/>
    <col min="13649" max="13649" width="35.140625" customWidth="1"/>
    <col min="13650" max="13650" width="11.85546875" customWidth="1"/>
    <col min="13651" max="13651" width="6.5703125" customWidth="1"/>
    <col min="13652" max="13652" width="7.85546875" customWidth="1"/>
    <col min="13653" max="13653" width="7.5703125" customWidth="1"/>
    <col min="13655" max="13655" width="7.85546875" customWidth="1"/>
    <col min="13825" max="13828" width="10.140625" customWidth="1"/>
    <col min="13829" max="13829" width="11.5703125" customWidth="1"/>
    <col min="13830" max="13835" width="10.140625" customWidth="1"/>
    <col min="13836" max="13836" width="9.140625" customWidth="1"/>
    <col min="13837" max="13837" width="6.5703125" customWidth="1"/>
    <col min="13838" max="13843" width="10.140625" customWidth="1"/>
    <col min="13844" max="13844" width="3.7109375" customWidth="1"/>
    <col min="13845" max="13852" width="10.140625" customWidth="1"/>
    <col min="13853" max="13853" width="0.42578125" customWidth="1"/>
    <col min="13854" max="13866" width="10.140625" customWidth="1"/>
    <col min="13869" max="13869" width="3.7109375" customWidth="1"/>
    <col min="13884" max="13884" width="6.140625" customWidth="1"/>
    <col min="13891" max="13891" width="15.140625" customWidth="1"/>
    <col min="13892" max="13892" width="20.5703125" customWidth="1"/>
    <col min="13894" max="13894" width="10.5703125" customWidth="1"/>
    <col min="13895" max="13895" width="18.5703125" customWidth="1"/>
    <col min="13896" max="13896" width="14.42578125" customWidth="1"/>
    <col min="13897" max="13897" width="13.5703125" customWidth="1"/>
    <col min="13898" max="13898" width="12.42578125" customWidth="1"/>
    <col min="13899" max="13899" width="7.42578125" customWidth="1"/>
    <col min="13900" max="13900" width="17.85546875" customWidth="1"/>
    <col min="13901" max="13901" width="18.140625" customWidth="1"/>
    <col min="13902" max="13902" width="18.42578125" customWidth="1"/>
    <col min="13903" max="13903" width="19.28515625" customWidth="1"/>
    <col min="13904" max="13904" width="20.42578125" customWidth="1"/>
    <col min="13905" max="13905" width="35.140625" customWidth="1"/>
    <col min="13906" max="13906" width="11.85546875" customWidth="1"/>
    <col min="13907" max="13907" width="6.5703125" customWidth="1"/>
    <col min="13908" max="13908" width="7.85546875" customWidth="1"/>
    <col min="13909" max="13909" width="7.5703125" customWidth="1"/>
    <col min="13911" max="13911" width="7.85546875" customWidth="1"/>
    <col min="14081" max="14084" width="10.140625" customWidth="1"/>
    <col min="14085" max="14085" width="11.5703125" customWidth="1"/>
    <col min="14086" max="14091" width="10.140625" customWidth="1"/>
    <col min="14092" max="14092" width="9.140625" customWidth="1"/>
    <col min="14093" max="14093" width="6.5703125" customWidth="1"/>
    <col min="14094" max="14099" width="10.140625" customWidth="1"/>
    <col min="14100" max="14100" width="3.7109375" customWidth="1"/>
    <col min="14101" max="14108" width="10.140625" customWidth="1"/>
    <col min="14109" max="14109" width="0.42578125" customWidth="1"/>
    <col min="14110" max="14122" width="10.140625" customWidth="1"/>
    <col min="14125" max="14125" width="3.7109375" customWidth="1"/>
    <col min="14140" max="14140" width="6.140625" customWidth="1"/>
    <col min="14147" max="14147" width="15.140625" customWidth="1"/>
    <col min="14148" max="14148" width="20.5703125" customWidth="1"/>
    <col min="14150" max="14150" width="10.5703125" customWidth="1"/>
    <col min="14151" max="14151" width="18.5703125" customWidth="1"/>
    <col min="14152" max="14152" width="14.42578125" customWidth="1"/>
    <col min="14153" max="14153" width="13.5703125" customWidth="1"/>
    <col min="14154" max="14154" width="12.42578125" customWidth="1"/>
    <col min="14155" max="14155" width="7.42578125" customWidth="1"/>
    <col min="14156" max="14156" width="17.85546875" customWidth="1"/>
    <col min="14157" max="14157" width="18.140625" customWidth="1"/>
    <col min="14158" max="14158" width="18.42578125" customWidth="1"/>
    <col min="14159" max="14159" width="19.28515625" customWidth="1"/>
    <col min="14160" max="14160" width="20.42578125" customWidth="1"/>
    <col min="14161" max="14161" width="35.140625" customWidth="1"/>
    <col min="14162" max="14162" width="11.85546875" customWidth="1"/>
    <col min="14163" max="14163" width="6.5703125" customWidth="1"/>
    <col min="14164" max="14164" width="7.85546875" customWidth="1"/>
    <col min="14165" max="14165" width="7.5703125" customWidth="1"/>
    <col min="14167" max="14167" width="7.85546875" customWidth="1"/>
    <col min="14337" max="14340" width="10.140625" customWidth="1"/>
    <col min="14341" max="14341" width="11.5703125" customWidth="1"/>
    <col min="14342" max="14347" width="10.140625" customWidth="1"/>
    <col min="14348" max="14348" width="9.140625" customWidth="1"/>
    <col min="14349" max="14349" width="6.5703125" customWidth="1"/>
    <col min="14350" max="14355" width="10.140625" customWidth="1"/>
    <col min="14356" max="14356" width="3.7109375" customWidth="1"/>
    <col min="14357" max="14364" width="10.140625" customWidth="1"/>
    <col min="14365" max="14365" width="0.42578125" customWidth="1"/>
    <col min="14366" max="14378" width="10.140625" customWidth="1"/>
    <col min="14381" max="14381" width="3.7109375" customWidth="1"/>
    <col min="14396" max="14396" width="6.140625" customWidth="1"/>
    <col min="14403" max="14403" width="15.140625" customWidth="1"/>
    <col min="14404" max="14404" width="20.5703125" customWidth="1"/>
    <col min="14406" max="14406" width="10.5703125" customWidth="1"/>
    <col min="14407" max="14407" width="18.5703125" customWidth="1"/>
    <col min="14408" max="14408" width="14.42578125" customWidth="1"/>
    <col min="14409" max="14409" width="13.5703125" customWidth="1"/>
    <col min="14410" max="14410" width="12.42578125" customWidth="1"/>
    <col min="14411" max="14411" width="7.42578125" customWidth="1"/>
    <col min="14412" max="14412" width="17.85546875" customWidth="1"/>
    <col min="14413" max="14413" width="18.140625" customWidth="1"/>
    <col min="14414" max="14414" width="18.42578125" customWidth="1"/>
    <col min="14415" max="14415" width="19.28515625" customWidth="1"/>
    <col min="14416" max="14416" width="20.42578125" customWidth="1"/>
    <col min="14417" max="14417" width="35.140625" customWidth="1"/>
    <col min="14418" max="14418" width="11.85546875" customWidth="1"/>
    <col min="14419" max="14419" width="6.5703125" customWidth="1"/>
    <col min="14420" max="14420" width="7.85546875" customWidth="1"/>
    <col min="14421" max="14421" width="7.5703125" customWidth="1"/>
    <col min="14423" max="14423" width="7.85546875" customWidth="1"/>
    <col min="14593" max="14596" width="10.140625" customWidth="1"/>
    <col min="14597" max="14597" width="11.5703125" customWidth="1"/>
    <col min="14598" max="14603" width="10.140625" customWidth="1"/>
    <col min="14604" max="14604" width="9.140625" customWidth="1"/>
    <col min="14605" max="14605" width="6.5703125" customWidth="1"/>
    <col min="14606" max="14611" width="10.140625" customWidth="1"/>
    <col min="14612" max="14612" width="3.7109375" customWidth="1"/>
    <col min="14613" max="14620" width="10.140625" customWidth="1"/>
    <col min="14621" max="14621" width="0.42578125" customWidth="1"/>
    <col min="14622" max="14634" width="10.140625" customWidth="1"/>
    <col min="14637" max="14637" width="3.7109375" customWidth="1"/>
    <col min="14652" max="14652" width="6.140625" customWidth="1"/>
    <col min="14659" max="14659" width="15.140625" customWidth="1"/>
    <col min="14660" max="14660" width="20.5703125" customWidth="1"/>
    <col min="14662" max="14662" width="10.5703125" customWidth="1"/>
    <col min="14663" max="14663" width="18.5703125" customWidth="1"/>
    <col min="14664" max="14664" width="14.42578125" customWidth="1"/>
    <col min="14665" max="14665" width="13.5703125" customWidth="1"/>
    <col min="14666" max="14666" width="12.42578125" customWidth="1"/>
    <col min="14667" max="14667" width="7.42578125" customWidth="1"/>
    <col min="14668" max="14668" width="17.85546875" customWidth="1"/>
    <col min="14669" max="14669" width="18.140625" customWidth="1"/>
    <col min="14670" max="14670" width="18.42578125" customWidth="1"/>
    <col min="14671" max="14671" width="19.28515625" customWidth="1"/>
    <col min="14672" max="14672" width="20.42578125" customWidth="1"/>
    <col min="14673" max="14673" width="35.140625" customWidth="1"/>
    <col min="14674" max="14674" width="11.85546875" customWidth="1"/>
    <col min="14675" max="14675" width="6.5703125" customWidth="1"/>
    <col min="14676" max="14676" width="7.85546875" customWidth="1"/>
    <col min="14677" max="14677" width="7.5703125" customWidth="1"/>
    <col min="14679" max="14679" width="7.85546875" customWidth="1"/>
    <col min="14849" max="14852" width="10.140625" customWidth="1"/>
    <col min="14853" max="14853" width="11.5703125" customWidth="1"/>
    <col min="14854" max="14859" width="10.140625" customWidth="1"/>
    <col min="14860" max="14860" width="9.140625" customWidth="1"/>
    <col min="14861" max="14861" width="6.5703125" customWidth="1"/>
    <col min="14862" max="14867" width="10.140625" customWidth="1"/>
    <col min="14868" max="14868" width="3.7109375" customWidth="1"/>
    <col min="14869" max="14876" width="10.140625" customWidth="1"/>
    <col min="14877" max="14877" width="0.42578125" customWidth="1"/>
    <col min="14878" max="14890" width="10.140625" customWidth="1"/>
    <col min="14893" max="14893" width="3.7109375" customWidth="1"/>
    <col min="14908" max="14908" width="6.140625" customWidth="1"/>
    <col min="14915" max="14915" width="15.140625" customWidth="1"/>
    <col min="14916" max="14916" width="20.5703125" customWidth="1"/>
    <col min="14918" max="14918" width="10.5703125" customWidth="1"/>
    <col min="14919" max="14919" width="18.5703125" customWidth="1"/>
    <col min="14920" max="14920" width="14.42578125" customWidth="1"/>
    <col min="14921" max="14921" width="13.5703125" customWidth="1"/>
    <col min="14922" max="14922" width="12.42578125" customWidth="1"/>
    <col min="14923" max="14923" width="7.42578125" customWidth="1"/>
    <col min="14924" max="14924" width="17.85546875" customWidth="1"/>
    <col min="14925" max="14925" width="18.140625" customWidth="1"/>
    <col min="14926" max="14926" width="18.42578125" customWidth="1"/>
    <col min="14927" max="14927" width="19.28515625" customWidth="1"/>
    <col min="14928" max="14928" width="20.42578125" customWidth="1"/>
    <col min="14929" max="14929" width="35.140625" customWidth="1"/>
    <col min="14930" max="14930" width="11.85546875" customWidth="1"/>
    <col min="14931" max="14931" width="6.5703125" customWidth="1"/>
    <col min="14932" max="14932" width="7.85546875" customWidth="1"/>
    <col min="14933" max="14933" width="7.5703125" customWidth="1"/>
    <col min="14935" max="14935" width="7.85546875" customWidth="1"/>
    <col min="15105" max="15108" width="10.140625" customWidth="1"/>
    <col min="15109" max="15109" width="11.5703125" customWidth="1"/>
    <col min="15110" max="15115" width="10.140625" customWidth="1"/>
    <col min="15116" max="15116" width="9.140625" customWidth="1"/>
    <col min="15117" max="15117" width="6.5703125" customWidth="1"/>
    <col min="15118" max="15123" width="10.140625" customWidth="1"/>
    <col min="15124" max="15124" width="3.7109375" customWidth="1"/>
    <col min="15125" max="15132" width="10.140625" customWidth="1"/>
    <col min="15133" max="15133" width="0.42578125" customWidth="1"/>
    <col min="15134" max="15146" width="10.140625" customWidth="1"/>
    <col min="15149" max="15149" width="3.7109375" customWidth="1"/>
    <col min="15164" max="15164" width="6.140625" customWidth="1"/>
    <col min="15171" max="15171" width="15.140625" customWidth="1"/>
    <col min="15172" max="15172" width="20.5703125" customWidth="1"/>
    <col min="15174" max="15174" width="10.5703125" customWidth="1"/>
    <col min="15175" max="15175" width="18.5703125" customWidth="1"/>
    <col min="15176" max="15176" width="14.42578125" customWidth="1"/>
    <col min="15177" max="15177" width="13.5703125" customWidth="1"/>
    <col min="15178" max="15178" width="12.42578125" customWidth="1"/>
    <col min="15179" max="15179" width="7.42578125" customWidth="1"/>
    <col min="15180" max="15180" width="17.85546875" customWidth="1"/>
    <col min="15181" max="15181" width="18.140625" customWidth="1"/>
    <col min="15182" max="15182" width="18.42578125" customWidth="1"/>
    <col min="15183" max="15183" width="19.28515625" customWidth="1"/>
    <col min="15184" max="15184" width="20.42578125" customWidth="1"/>
    <col min="15185" max="15185" width="35.140625" customWidth="1"/>
    <col min="15186" max="15186" width="11.85546875" customWidth="1"/>
    <col min="15187" max="15187" width="6.5703125" customWidth="1"/>
    <col min="15188" max="15188" width="7.85546875" customWidth="1"/>
    <col min="15189" max="15189" width="7.5703125" customWidth="1"/>
    <col min="15191" max="15191" width="7.85546875" customWidth="1"/>
    <col min="15361" max="15364" width="10.140625" customWidth="1"/>
    <col min="15365" max="15365" width="11.5703125" customWidth="1"/>
    <col min="15366" max="15371" width="10.140625" customWidth="1"/>
    <col min="15372" max="15372" width="9.140625" customWidth="1"/>
    <col min="15373" max="15373" width="6.5703125" customWidth="1"/>
    <col min="15374" max="15379" width="10.140625" customWidth="1"/>
    <col min="15380" max="15380" width="3.7109375" customWidth="1"/>
    <col min="15381" max="15388" width="10.140625" customWidth="1"/>
    <col min="15389" max="15389" width="0.42578125" customWidth="1"/>
    <col min="15390" max="15402" width="10.140625" customWidth="1"/>
    <col min="15405" max="15405" width="3.7109375" customWidth="1"/>
    <col min="15420" max="15420" width="6.140625" customWidth="1"/>
    <col min="15427" max="15427" width="15.140625" customWidth="1"/>
    <col min="15428" max="15428" width="20.5703125" customWidth="1"/>
    <col min="15430" max="15430" width="10.5703125" customWidth="1"/>
    <col min="15431" max="15431" width="18.5703125" customWidth="1"/>
    <col min="15432" max="15432" width="14.42578125" customWidth="1"/>
    <col min="15433" max="15433" width="13.5703125" customWidth="1"/>
    <col min="15434" max="15434" width="12.42578125" customWidth="1"/>
    <col min="15435" max="15435" width="7.42578125" customWidth="1"/>
    <col min="15436" max="15436" width="17.85546875" customWidth="1"/>
    <col min="15437" max="15437" width="18.140625" customWidth="1"/>
    <col min="15438" max="15438" width="18.42578125" customWidth="1"/>
    <col min="15439" max="15439" width="19.28515625" customWidth="1"/>
    <col min="15440" max="15440" width="20.42578125" customWidth="1"/>
    <col min="15441" max="15441" width="35.140625" customWidth="1"/>
    <col min="15442" max="15442" width="11.85546875" customWidth="1"/>
    <col min="15443" max="15443" width="6.5703125" customWidth="1"/>
    <col min="15444" max="15444" width="7.85546875" customWidth="1"/>
    <col min="15445" max="15445" width="7.5703125" customWidth="1"/>
    <col min="15447" max="15447" width="7.85546875" customWidth="1"/>
    <col min="15617" max="15620" width="10.140625" customWidth="1"/>
    <col min="15621" max="15621" width="11.5703125" customWidth="1"/>
    <col min="15622" max="15627" width="10.140625" customWidth="1"/>
    <col min="15628" max="15628" width="9.140625" customWidth="1"/>
    <col min="15629" max="15629" width="6.5703125" customWidth="1"/>
    <col min="15630" max="15635" width="10.140625" customWidth="1"/>
    <col min="15636" max="15636" width="3.7109375" customWidth="1"/>
    <col min="15637" max="15644" width="10.140625" customWidth="1"/>
    <col min="15645" max="15645" width="0.42578125" customWidth="1"/>
    <col min="15646" max="15658" width="10.140625" customWidth="1"/>
    <col min="15661" max="15661" width="3.7109375" customWidth="1"/>
    <col min="15676" max="15676" width="6.140625" customWidth="1"/>
    <col min="15683" max="15683" width="15.140625" customWidth="1"/>
    <col min="15684" max="15684" width="20.5703125" customWidth="1"/>
    <col min="15686" max="15686" width="10.5703125" customWidth="1"/>
    <col min="15687" max="15687" width="18.5703125" customWidth="1"/>
    <col min="15688" max="15688" width="14.42578125" customWidth="1"/>
    <col min="15689" max="15689" width="13.5703125" customWidth="1"/>
    <col min="15690" max="15690" width="12.42578125" customWidth="1"/>
    <col min="15691" max="15691" width="7.42578125" customWidth="1"/>
    <col min="15692" max="15692" width="17.85546875" customWidth="1"/>
    <col min="15693" max="15693" width="18.140625" customWidth="1"/>
    <col min="15694" max="15694" width="18.42578125" customWidth="1"/>
    <col min="15695" max="15695" width="19.28515625" customWidth="1"/>
    <col min="15696" max="15696" width="20.42578125" customWidth="1"/>
    <col min="15697" max="15697" width="35.140625" customWidth="1"/>
    <col min="15698" max="15698" width="11.85546875" customWidth="1"/>
    <col min="15699" max="15699" width="6.5703125" customWidth="1"/>
    <col min="15700" max="15700" width="7.85546875" customWidth="1"/>
    <col min="15701" max="15701" width="7.5703125" customWidth="1"/>
    <col min="15703" max="15703" width="7.85546875" customWidth="1"/>
    <col min="15873" max="15876" width="10.140625" customWidth="1"/>
    <col min="15877" max="15877" width="11.5703125" customWidth="1"/>
    <col min="15878" max="15883" width="10.140625" customWidth="1"/>
    <col min="15884" max="15884" width="9.140625" customWidth="1"/>
    <col min="15885" max="15885" width="6.5703125" customWidth="1"/>
    <col min="15886" max="15891" width="10.140625" customWidth="1"/>
    <col min="15892" max="15892" width="3.7109375" customWidth="1"/>
    <col min="15893" max="15900" width="10.140625" customWidth="1"/>
    <col min="15901" max="15901" width="0.42578125" customWidth="1"/>
    <col min="15902" max="15914" width="10.140625" customWidth="1"/>
    <col min="15917" max="15917" width="3.7109375" customWidth="1"/>
    <col min="15932" max="15932" width="6.140625" customWidth="1"/>
    <col min="15939" max="15939" width="15.140625" customWidth="1"/>
    <col min="15940" max="15940" width="20.5703125" customWidth="1"/>
    <col min="15942" max="15942" width="10.5703125" customWidth="1"/>
    <col min="15943" max="15943" width="18.5703125" customWidth="1"/>
    <col min="15944" max="15944" width="14.42578125" customWidth="1"/>
    <col min="15945" max="15945" width="13.5703125" customWidth="1"/>
    <col min="15946" max="15946" width="12.42578125" customWidth="1"/>
    <col min="15947" max="15947" width="7.42578125" customWidth="1"/>
    <col min="15948" max="15948" width="17.85546875" customWidth="1"/>
    <col min="15949" max="15949" width="18.140625" customWidth="1"/>
    <col min="15950" max="15950" width="18.42578125" customWidth="1"/>
    <col min="15951" max="15951" width="19.28515625" customWidth="1"/>
    <col min="15952" max="15952" width="20.42578125" customWidth="1"/>
    <col min="15953" max="15953" width="35.140625" customWidth="1"/>
    <col min="15954" max="15954" width="11.85546875" customWidth="1"/>
    <col min="15955" max="15955" width="6.5703125" customWidth="1"/>
    <col min="15956" max="15956" width="7.85546875" customWidth="1"/>
    <col min="15957" max="15957" width="7.5703125" customWidth="1"/>
    <col min="15959" max="15959" width="7.85546875" customWidth="1"/>
    <col min="16129" max="16132" width="10.140625" customWidth="1"/>
    <col min="16133" max="16133" width="11.5703125" customWidth="1"/>
    <col min="16134" max="16139" width="10.140625" customWidth="1"/>
    <col min="16140" max="16140" width="9.140625" customWidth="1"/>
    <col min="16141" max="16141" width="6.5703125" customWidth="1"/>
    <col min="16142" max="16147" width="10.140625" customWidth="1"/>
    <col min="16148" max="16148" width="3.7109375" customWidth="1"/>
    <col min="16149" max="16156" width="10.140625" customWidth="1"/>
    <col min="16157" max="16157" width="0.42578125" customWidth="1"/>
    <col min="16158" max="16170" width="10.140625" customWidth="1"/>
    <col min="16173" max="16173" width="3.7109375" customWidth="1"/>
    <col min="16188" max="16188" width="6.140625" customWidth="1"/>
    <col min="16195" max="16195" width="15.140625" customWidth="1"/>
    <col min="16196" max="16196" width="20.5703125" customWidth="1"/>
    <col min="16198" max="16198" width="10.5703125" customWidth="1"/>
    <col min="16199" max="16199" width="18.5703125" customWidth="1"/>
    <col min="16200" max="16200" width="14.42578125" customWidth="1"/>
    <col min="16201" max="16201" width="13.5703125" customWidth="1"/>
    <col min="16202" max="16202" width="12.42578125" customWidth="1"/>
    <col min="16203" max="16203" width="7.42578125" customWidth="1"/>
    <col min="16204" max="16204" width="17.85546875" customWidth="1"/>
    <col min="16205" max="16205" width="18.140625" customWidth="1"/>
    <col min="16206" max="16206" width="18.42578125" customWidth="1"/>
    <col min="16207" max="16207" width="19.28515625" customWidth="1"/>
    <col min="16208" max="16208" width="20.42578125" customWidth="1"/>
    <col min="16209" max="16209" width="35.140625" customWidth="1"/>
    <col min="16210" max="16210" width="11.85546875" customWidth="1"/>
    <col min="16211" max="16211" width="6.5703125" customWidth="1"/>
    <col min="16212" max="16212" width="7.85546875" customWidth="1"/>
    <col min="16213" max="16213" width="7.5703125" customWidth="1"/>
    <col min="16215" max="16215" width="7.85546875" customWidth="1"/>
  </cols>
  <sheetData>
    <row r="1" spans="1:89" ht="19.5" customHeight="1" x14ac:dyDescent="0.25">
      <c r="A1" s="501" t="s">
        <v>14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89" ht="19.5" customHeight="1" x14ac:dyDescent="0.25">
      <c r="A2" s="502"/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89" ht="21.75" customHeight="1" x14ac:dyDescent="0.25">
      <c r="A3" s="502"/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89" ht="20.100000000000001" customHeight="1" x14ac:dyDescent="0.25">
      <c r="A4" s="502"/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1">
        <v>1</v>
      </c>
      <c r="O4" s="3">
        <v>0</v>
      </c>
      <c r="P4" s="1">
        <v>1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89" ht="20.100000000000001" customHeight="1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5"/>
      <c r="CI5" s="2"/>
      <c r="CJ5" s="2"/>
      <c r="CK5" s="2"/>
    </row>
    <row r="6" spans="1:89" ht="20.100000000000001" customHeight="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5"/>
      <c r="CI6" s="2"/>
      <c r="CJ6" s="2"/>
      <c r="CK6" s="2"/>
    </row>
    <row r="7" spans="1:89" ht="20.100000000000001" customHeight="1" x14ac:dyDescent="0.25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5"/>
      <c r="CI7" s="2"/>
      <c r="CJ7" s="2"/>
      <c r="CK7" s="2"/>
    </row>
    <row r="8" spans="1:89" ht="20.100000000000001" customHeight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5"/>
      <c r="CI8" s="2"/>
      <c r="CJ8" s="2"/>
      <c r="CK8" s="2"/>
    </row>
    <row r="9" spans="1:89" ht="20.100000000000001" customHeight="1" thickBot="1" x14ac:dyDescent="0.3">
      <c r="A9" s="2"/>
      <c r="B9" s="506" t="s">
        <v>15</v>
      </c>
      <c r="C9" s="507"/>
      <c r="D9" s="507"/>
      <c r="E9" s="507"/>
      <c r="F9" s="507"/>
      <c r="G9" s="507"/>
      <c r="H9" s="507"/>
      <c r="I9" s="507"/>
      <c r="J9" s="507"/>
      <c r="K9" s="507"/>
      <c r="L9" s="508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5"/>
      <c r="CI9" s="2"/>
      <c r="CJ9" s="2"/>
      <c r="CK9" s="2"/>
    </row>
    <row r="10" spans="1:89" ht="20.100000000000001" customHeight="1" thickBot="1" x14ac:dyDescent="0.3">
      <c r="A10" s="2"/>
      <c r="B10" s="509" t="s">
        <v>16</v>
      </c>
      <c r="C10" s="510"/>
      <c r="D10" s="511"/>
      <c r="E10" s="512"/>
      <c r="F10" s="512"/>
      <c r="G10" s="512"/>
      <c r="H10" s="512"/>
      <c r="I10" s="512"/>
      <c r="J10" s="512"/>
      <c r="K10" s="512"/>
      <c r="L10" s="513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5"/>
      <c r="CI10" s="2"/>
      <c r="CJ10" s="2"/>
      <c r="CK10" s="2"/>
    </row>
    <row r="11" spans="1:89" ht="20.100000000000001" customHeight="1" thickBot="1" x14ac:dyDescent="0.3">
      <c r="A11" s="2"/>
      <c r="B11" s="514"/>
      <c r="C11" s="515"/>
      <c r="D11" s="516"/>
      <c r="E11" s="517" t="s">
        <v>17</v>
      </c>
      <c r="F11" s="518"/>
      <c r="G11" s="518"/>
      <c r="H11" s="518"/>
      <c r="I11" s="518"/>
      <c r="J11" s="518"/>
      <c r="K11" s="518"/>
      <c r="L11" s="519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5"/>
      <c r="CI11" s="2"/>
      <c r="CJ11" s="2"/>
      <c r="CK11" s="2"/>
    </row>
    <row r="12" spans="1:89" ht="20.100000000000001" customHeight="1" thickBot="1" x14ac:dyDescent="0.3">
      <c r="A12" s="2"/>
      <c r="B12" s="520" t="s">
        <v>18</v>
      </c>
      <c r="C12" s="521"/>
      <c r="D12" s="522"/>
      <c r="E12" s="14">
        <v>1</v>
      </c>
      <c r="F12" s="15">
        <v>2</v>
      </c>
      <c r="G12" s="15">
        <v>3</v>
      </c>
      <c r="H12" s="15">
        <v>4</v>
      </c>
      <c r="I12" s="15">
        <v>5</v>
      </c>
      <c r="J12" s="15">
        <v>6</v>
      </c>
      <c r="K12" s="15">
        <v>7</v>
      </c>
      <c r="L12" s="16">
        <v>8</v>
      </c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5"/>
      <c r="CI12" s="2"/>
      <c r="CJ12" s="2"/>
      <c r="CK12" s="2"/>
    </row>
    <row r="13" spans="1:89" ht="20.100000000000001" customHeight="1" x14ac:dyDescent="0.25">
      <c r="A13" s="2"/>
      <c r="B13" s="503" t="s">
        <v>19</v>
      </c>
      <c r="C13" s="504"/>
      <c r="D13" s="505"/>
      <c r="E13" s="17">
        <v>4</v>
      </c>
      <c r="F13" s="8">
        <v>6.8</v>
      </c>
      <c r="G13" s="8">
        <v>8.9</v>
      </c>
      <c r="H13" s="8">
        <v>11</v>
      </c>
      <c r="I13" s="8">
        <v>13</v>
      </c>
      <c r="J13" s="8">
        <v>15.1</v>
      </c>
      <c r="K13" s="8">
        <f>4*0.63*7</f>
        <v>17.64</v>
      </c>
      <c r="L13" s="9">
        <f>4*0.63*8</f>
        <v>20.16</v>
      </c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5"/>
      <c r="CI13" s="2"/>
      <c r="CJ13" s="2"/>
      <c r="CK13" s="2"/>
    </row>
    <row r="14" spans="1:89" ht="20.100000000000001" customHeight="1" x14ac:dyDescent="0.25">
      <c r="A14" s="2"/>
      <c r="B14" s="523" t="s">
        <v>20</v>
      </c>
      <c r="C14" s="524"/>
      <c r="D14" s="525"/>
      <c r="E14" s="17">
        <v>5.5</v>
      </c>
      <c r="F14" s="8">
        <v>9.4</v>
      </c>
      <c r="G14" s="8">
        <v>13.2</v>
      </c>
      <c r="H14" s="8">
        <v>16.5</v>
      </c>
      <c r="I14" s="8">
        <v>18.7</v>
      </c>
      <c r="J14" s="8">
        <v>22.1</v>
      </c>
      <c r="K14" s="8">
        <f>7*0.65*5.5</f>
        <v>25.024999999999999</v>
      </c>
      <c r="L14" s="9">
        <f>8*0.65*5.5</f>
        <v>28.6</v>
      </c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5"/>
      <c r="CI14" s="2"/>
      <c r="CJ14" s="2"/>
      <c r="CK14" s="2"/>
    </row>
    <row r="15" spans="1:89" ht="20.100000000000001" customHeight="1" thickBot="1" x14ac:dyDescent="0.3">
      <c r="A15" s="2"/>
      <c r="B15" s="526" t="s">
        <v>21</v>
      </c>
      <c r="C15" s="527"/>
      <c r="D15" s="528"/>
      <c r="E15" s="18">
        <v>7.5</v>
      </c>
      <c r="F15" s="12">
        <v>12.8</v>
      </c>
      <c r="G15" s="12">
        <v>18</v>
      </c>
      <c r="H15" s="12">
        <v>22.5</v>
      </c>
      <c r="I15" s="19">
        <v>25.5</v>
      </c>
      <c r="J15" s="12">
        <v>30.1</v>
      </c>
      <c r="K15" s="12">
        <v>34.1</v>
      </c>
      <c r="L15" s="13">
        <v>39</v>
      </c>
      <c r="M15" s="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5"/>
      <c r="CI15" s="2"/>
      <c r="CJ15" s="2"/>
      <c r="CK15" s="2"/>
    </row>
    <row r="16" spans="1:89" ht="20.100000000000001" customHeight="1" x14ac:dyDescent="0.25">
      <c r="A16" s="2"/>
      <c r="B16" s="529" t="s">
        <v>22</v>
      </c>
      <c r="C16" s="530"/>
      <c r="D16" s="530"/>
      <c r="E16" s="515"/>
      <c r="F16" s="515"/>
      <c r="G16" s="515"/>
      <c r="H16" s="515"/>
      <c r="I16" s="515"/>
      <c r="J16" s="515"/>
      <c r="K16" s="515"/>
      <c r="L16" s="516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5"/>
      <c r="CI16" s="2"/>
      <c r="CJ16" s="2"/>
      <c r="CK16" s="2"/>
    </row>
    <row r="17" spans="1:89" ht="20.100000000000001" customHeight="1" x14ac:dyDescent="0.25">
      <c r="A17" s="2"/>
      <c r="B17" s="531" t="s">
        <v>137</v>
      </c>
      <c r="C17" s="20"/>
      <c r="D17" s="21"/>
      <c r="E17" s="533" t="s">
        <v>17</v>
      </c>
      <c r="F17" s="534"/>
      <c r="G17" s="534"/>
      <c r="H17" s="534"/>
      <c r="I17" s="534"/>
      <c r="J17" s="534"/>
      <c r="K17" s="534"/>
      <c r="L17" s="535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5"/>
      <c r="CI17" s="2"/>
      <c r="CJ17" s="2"/>
      <c r="CK17" s="2"/>
    </row>
    <row r="18" spans="1:89" ht="20.100000000000001" customHeight="1" x14ac:dyDescent="0.25">
      <c r="A18" s="2"/>
      <c r="B18" s="532"/>
      <c r="C18" s="536" t="s">
        <v>23</v>
      </c>
      <c r="D18" s="537"/>
      <c r="E18" s="6">
        <v>1</v>
      </c>
      <c r="F18" s="6">
        <v>2</v>
      </c>
      <c r="G18" s="6">
        <v>3</v>
      </c>
      <c r="H18" s="6">
        <v>4</v>
      </c>
      <c r="I18" s="6">
        <v>5</v>
      </c>
      <c r="J18" s="6">
        <v>6</v>
      </c>
      <c r="K18" s="6">
        <v>7</v>
      </c>
      <c r="L18" s="7">
        <v>8</v>
      </c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5"/>
      <c r="CI18" s="2"/>
      <c r="CJ18" s="2">
        <v>1800</v>
      </c>
      <c r="CK18" s="2">
        <f>IF(CJ18&gt;C22,IF(CJ18&lt;C23,C23,IF(CJ18&lt;C24,C24,1000)),C22)</f>
        <v>2100</v>
      </c>
    </row>
    <row r="19" spans="1:89" ht="20.100000000000001" customHeight="1" x14ac:dyDescent="0.25">
      <c r="A19" s="2"/>
      <c r="B19" s="22">
        <v>1</v>
      </c>
      <c r="C19" s="497">
        <v>500</v>
      </c>
      <c r="D19" s="498"/>
      <c r="E19" s="8">
        <v>2</v>
      </c>
      <c r="F19" s="6"/>
      <c r="G19" s="6"/>
      <c r="H19" s="6"/>
      <c r="I19" s="6"/>
      <c r="J19" s="6"/>
      <c r="K19" s="6"/>
      <c r="L19" s="7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5"/>
      <c r="CI19" s="2"/>
      <c r="CJ19" s="2"/>
      <c r="CK19" s="2"/>
    </row>
    <row r="20" spans="1:89" ht="20.100000000000001" customHeight="1" x14ac:dyDescent="0.25">
      <c r="A20" s="2"/>
      <c r="B20" s="22">
        <v>1.5</v>
      </c>
      <c r="C20" s="497">
        <v>900</v>
      </c>
      <c r="D20" s="498"/>
      <c r="E20" s="8">
        <v>3</v>
      </c>
      <c r="F20" s="6"/>
      <c r="G20" s="6"/>
      <c r="H20" s="6"/>
      <c r="I20" s="6"/>
      <c r="J20" s="6"/>
      <c r="K20" s="6"/>
      <c r="L20" s="7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5"/>
      <c r="CI20" s="2"/>
      <c r="CJ20" s="2"/>
      <c r="CK20" s="2"/>
    </row>
    <row r="21" spans="1:89" ht="20.100000000000001" customHeight="1" x14ac:dyDescent="0.25">
      <c r="A21" s="2"/>
      <c r="B21" s="22">
        <v>2</v>
      </c>
      <c r="C21" s="497">
        <v>1200</v>
      </c>
      <c r="D21" s="498"/>
      <c r="E21" s="8">
        <v>4</v>
      </c>
      <c r="F21" s="6"/>
      <c r="G21" s="6"/>
      <c r="H21" s="6"/>
      <c r="I21" s="6"/>
      <c r="J21" s="6"/>
      <c r="K21" s="6"/>
      <c r="L21" s="7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5"/>
      <c r="CI21" s="2"/>
      <c r="CJ21" s="2"/>
      <c r="CK21" s="2"/>
    </row>
    <row r="22" spans="1:89" ht="20.100000000000001" customHeight="1" x14ac:dyDescent="0.25">
      <c r="B22" s="22">
        <v>2.5</v>
      </c>
      <c r="C22" s="497">
        <v>1500</v>
      </c>
      <c r="D22" s="498"/>
      <c r="E22" s="8">
        <v>5</v>
      </c>
      <c r="F22" s="8">
        <v>9</v>
      </c>
      <c r="G22" s="8">
        <v>12.8</v>
      </c>
      <c r="H22" s="8">
        <v>16.399999999999999</v>
      </c>
      <c r="I22" s="8">
        <v>19.5</v>
      </c>
      <c r="J22" s="8">
        <v>23.1</v>
      </c>
      <c r="K22" s="8">
        <v>27</v>
      </c>
      <c r="L22" s="9">
        <v>30</v>
      </c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89" ht="20.100000000000001" customHeight="1" x14ac:dyDescent="0.25">
      <c r="B23" s="22">
        <v>3</v>
      </c>
      <c r="C23" s="497">
        <v>1800</v>
      </c>
      <c r="D23" s="498"/>
      <c r="E23" s="8">
        <v>5.5</v>
      </c>
      <c r="F23" s="8">
        <v>9.9</v>
      </c>
      <c r="G23" s="8">
        <v>14</v>
      </c>
      <c r="H23" s="8">
        <v>18</v>
      </c>
      <c r="I23" s="8">
        <v>21.5</v>
      </c>
      <c r="J23" s="8">
        <v>25.4</v>
      </c>
      <c r="K23" s="8">
        <v>29.6</v>
      </c>
      <c r="L23" s="9">
        <v>33</v>
      </c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89" ht="20.100000000000001" customHeight="1" x14ac:dyDescent="0.25">
      <c r="B24" s="22">
        <v>3.5</v>
      </c>
      <c r="C24" s="497">
        <v>2100</v>
      </c>
      <c r="D24" s="498"/>
      <c r="E24" s="8">
        <v>7</v>
      </c>
      <c r="F24" s="8">
        <v>12.6</v>
      </c>
      <c r="G24" s="8">
        <v>17.899999999999999</v>
      </c>
      <c r="H24" s="8">
        <v>23</v>
      </c>
      <c r="I24" s="8">
        <v>27.3</v>
      </c>
      <c r="J24" s="8">
        <v>32.299999999999997</v>
      </c>
      <c r="K24" s="8">
        <v>37.700000000000003</v>
      </c>
      <c r="L24" s="9">
        <v>42</v>
      </c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89" ht="20.100000000000001" customHeight="1" x14ac:dyDescent="0.25">
      <c r="B25" s="22">
        <v>4</v>
      </c>
      <c r="C25" s="497">
        <v>2400</v>
      </c>
      <c r="D25" s="498"/>
      <c r="E25" s="8">
        <v>8</v>
      </c>
      <c r="F25" s="8">
        <v>14.4</v>
      </c>
      <c r="G25" s="8">
        <v>20.399999999999999</v>
      </c>
      <c r="H25" s="8">
        <v>26.2</v>
      </c>
      <c r="I25" s="8">
        <v>31.2</v>
      </c>
      <c r="J25" s="8">
        <v>37</v>
      </c>
      <c r="K25" s="8">
        <v>43.1</v>
      </c>
      <c r="L25" s="9">
        <v>48</v>
      </c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89" ht="20.100000000000001" customHeight="1" thickBot="1" x14ac:dyDescent="0.3">
      <c r="B26" s="23">
        <v>5</v>
      </c>
      <c r="C26" s="499">
        <v>3000</v>
      </c>
      <c r="D26" s="500"/>
      <c r="E26" s="12">
        <v>10</v>
      </c>
      <c r="F26" s="12">
        <v>18</v>
      </c>
      <c r="G26" s="12">
        <v>25.5</v>
      </c>
      <c r="H26" s="12">
        <v>32.799999999999997</v>
      </c>
      <c r="I26" s="12">
        <v>39</v>
      </c>
      <c r="J26" s="12">
        <v>46.2</v>
      </c>
      <c r="K26" s="12">
        <v>53.9</v>
      </c>
      <c r="L26" s="13">
        <v>60</v>
      </c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89" ht="20.100000000000001" customHeight="1" x14ac:dyDescent="0.25">
      <c r="B27" s="541" t="s">
        <v>24</v>
      </c>
      <c r="C27" s="542"/>
      <c r="D27" s="542"/>
      <c r="E27" s="538"/>
      <c r="F27" s="538"/>
      <c r="G27" s="538"/>
      <c r="H27" s="538"/>
      <c r="I27" s="538"/>
      <c r="J27" s="538"/>
      <c r="K27" s="538"/>
      <c r="L27" s="539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89" ht="20.100000000000001" customHeight="1" x14ac:dyDescent="0.25">
      <c r="B28" s="532" t="s">
        <v>138</v>
      </c>
      <c r="C28" s="20"/>
      <c r="D28" s="21"/>
      <c r="E28" s="533" t="s">
        <v>17</v>
      </c>
      <c r="F28" s="534"/>
      <c r="G28" s="534"/>
      <c r="H28" s="534"/>
      <c r="I28" s="534"/>
      <c r="J28" s="534"/>
      <c r="K28" s="534"/>
      <c r="L28" s="535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89" ht="20.100000000000001" customHeight="1" x14ac:dyDescent="0.25">
      <c r="B29" s="540"/>
      <c r="C29" s="536" t="s">
        <v>25</v>
      </c>
      <c r="D29" s="537"/>
      <c r="E29" s="24">
        <v>1</v>
      </c>
      <c r="F29" s="24">
        <v>2</v>
      </c>
      <c r="G29" s="24">
        <v>3</v>
      </c>
      <c r="H29" s="24">
        <v>4</v>
      </c>
      <c r="I29" s="24">
        <v>5</v>
      </c>
      <c r="J29" s="24">
        <v>6</v>
      </c>
      <c r="K29" s="24">
        <v>7</v>
      </c>
      <c r="L29" s="7">
        <v>8</v>
      </c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89" ht="20.100000000000001" customHeight="1" x14ac:dyDescent="0.25">
      <c r="B30" s="22">
        <v>1</v>
      </c>
      <c r="C30" s="497">
        <v>500</v>
      </c>
      <c r="D30" s="498"/>
      <c r="E30" s="25">
        <v>5</v>
      </c>
      <c r="F30" s="282"/>
      <c r="G30" s="282"/>
      <c r="H30" s="282"/>
      <c r="I30" s="282"/>
      <c r="J30" s="282"/>
      <c r="K30" s="282"/>
      <c r="L30" s="7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89" ht="20.100000000000001" customHeight="1" x14ac:dyDescent="0.25">
      <c r="B31" s="22">
        <v>1.5</v>
      </c>
      <c r="C31" s="497">
        <v>900</v>
      </c>
      <c r="D31" s="498"/>
      <c r="E31" s="25">
        <v>5</v>
      </c>
      <c r="F31" s="282"/>
      <c r="G31" s="282"/>
      <c r="H31" s="282"/>
      <c r="I31" s="282"/>
      <c r="J31" s="282"/>
      <c r="K31" s="282"/>
      <c r="L31" s="7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89" ht="20.100000000000001" customHeight="1" x14ac:dyDescent="0.25">
      <c r="B32" s="22">
        <v>2</v>
      </c>
      <c r="C32" s="497">
        <v>1200</v>
      </c>
      <c r="D32" s="498"/>
      <c r="E32" s="25">
        <v>6</v>
      </c>
      <c r="F32" s="282"/>
      <c r="G32" s="282"/>
      <c r="H32" s="282"/>
      <c r="I32" s="282"/>
      <c r="J32" s="282"/>
      <c r="K32" s="282"/>
      <c r="L32" s="7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2:86" ht="20.100000000000001" customHeight="1" x14ac:dyDescent="0.25">
      <c r="B33" s="22">
        <v>2.5</v>
      </c>
      <c r="C33" s="497">
        <v>1500</v>
      </c>
      <c r="D33" s="498"/>
      <c r="E33" s="25">
        <v>8</v>
      </c>
      <c r="F33" s="25">
        <v>14.4</v>
      </c>
      <c r="G33" s="25">
        <v>20.399999999999999</v>
      </c>
      <c r="H33" s="25">
        <v>26.2</v>
      </c>
      <c r="I33" s="25">
        <v>31.2</v>
      </c>
      <c r="J33" s="25">
        <v>37</v>
      </c>
      <c r="K33" s="25">
        <v>43.1</v>
      </c>
      <c r="L33" s="9">
        <v>48</v>
      </c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2:86" ht="20.100000000000001" customHeight="1" x14ac:dyDescent="0.25">
      <c r="B34" s="22">
        <v>3</v>
      </c>
      <c r="C34" s="497">
        <v>1800</v>
      </c>
      <c r="D34" s="498"/>
      <c r="E34" s="25">
        <v>9</v>
      </c>
      <c r="F34" s="25">
        <v>16.2</v>
      </c>
      <c r="G34" s="25">
        <v>23</v>
      </c>
      <c r="H34" s="25">
        <v>29.5</v>
      </c>
      <c r="I34" s="25">
        <v>35.1</v>
      </c>
      <c r="J34" s="25">
        <v>41.6</v>
      </c>
      <c r="K34" s="25">
        <v>48.5</v>
      </c>
      <c r="L34" s="9">
        <v>54</v>
      </c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2:86" ht="20.100000000000001" customHeight="1" x14ac:dyDescent="0.25">
      <c r="B35" s="22">
        <v>3.5</v>
      </c>
      <c r="C35" s="497">
        <v>2100</v>
      </c>
      <c r="D35" s="498"/>
      <c r="E35" s="25">
        <v>10.5</v>
      </c>
      <c r="F35" s="25">
        <v>18.899999999999999</v>
      </c>
      <c r="G35" s="25">
        <v>26.8</v>
      </c>
      <c r="H35" s="25">
        <v>34.4</v>
      </c>
      <c r="I35" s="25">
        <v>41</v>
      </c>
      <c r="J35" s="25">
        <v>48.5</v>
      </c>
      <c r="K35" s="25">
        <v>56.6</v>
      </c>
      <c r="L35" s="9">
        <v>63</v>
      </c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2:86" ht="20.100000000000001" customHeight="1" x14ac:dyDescent="0.25">
      <c r="B36" s="22">
        <v>4</v>
      </c>
      <c r="C36" s="497">
        <v>2400</v>
      </c>
      <c r="D36" s="498"/>
      <c r="E36" s="25">
        <v>12.5</v>
      </c>
      <c r="F36" s="25">
        <v>22.5</v>
      </c>
      <c r="G36" s="25">
        <v>31.9</v>
      </c>
      <c r="H36" s="25">
        <v>41</v>
      </c>
      <c r="I36" s="25">
        <v>48.8</v>
      </c>
      <c r="J36" s="25">
        <v>57.8</v>
      </c>
      <c r="K36" s="25">
        <v>67.400000000000006</v>
      </c>
      <c r="L36" s="9">
        <v>75</v>
      </c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2:86" ht="20.100000000000001" customHeight="1" thickBot="1" x14ac:dyDescent="0.3">
      <c r="B37" s="23">
        <v>5</v>
      </c>
      <c r="C37" s="499">
        <v>3000</v>
      </c>
      <c r="D37" s="500"/>
      <c r="E37" s="26">
        <v>16</v>
      </c>
      <c r="F37" s="26">
        <v>28.8</v>
      </c>
      <c r="G37" s="26">
        <v>40.799999999999997</v>
      </c>
      <c r="H37" s="26">
        <v>52.5</v>
      </c>
      <c r="I37" s="26">
        <v>62.4</v>
      </c>
      <c r="J37" s="26">
        <v>73.900000000000006</v>
      </c>
      <c r="K37" s="26">
        <v>86.2</v>
      </c>
      <c r="L37" s="13">
        <v>96</v>
      </c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2:86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2:86" ht="20.100000000000001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2:86" ht="20.100000000000001" customHeight="1" x14ac:dyDescent="0.25">
      <c r="B40" s="2"/>
      <c r="C40" s="2"/>
      <c r="D40" s="2"/>
      <c r="E40" s="74">
        <v>1</v>
      </c>
      <c r="F40" s="74">
        <v>2</v>
      </c>
      <c r="G40" s="74">
        <v>3</v>
      </c>
      <c r="H40" s="74">
        <v>4</v>
      </c>
      <c r="I40" s="74">
        <v>5</v>
      </c>
      <c r="J40" s="74">
        <v>6</v>
      </c>
      <c r="K40" s="74">
        <v>7</v>
      </c>
      <c r="L40" s="7">
        <v>8</v>
      </c>
      <c r="M40" s="2">
        <v>9</v>
      </c>
      <c r="N40" s="2">
        <v>10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2:86" ht="20.100000000000001" customHeight="1" x14ac:dyDescent="0.25">
      <c r="E41" s="70">
        <f>E14+E24</f>
        <v>12.5</v>
      </c>
      <c r="F41" s="70">
        <f t="shared" ref="F41:L41" si="0">F14+F24</f>
        <v>22</v>
      </c>
      <c r="G41" s="70">
        <f t="shared" si="0"/>
        <v>31.099999999999998</v>
      </c>
      <c r="H41" s="70">
        <f t="shared" si="0"/>
        <v>39.5</v>
      </c>
      <c r="I41" s="70">
        <f t="shared" si="0"/>
        <v>46</v>
      </c>
      <c r="J41" s="70">
        <f t="shared" si="0"/>
        <v>54.4</v>
      </c>
      <c r="K41" s="70">
        <f t="shared" si="0"/>
        <v>62.725000000000001</v>
      </c>
      <c r="L41" s="70">
        <f t="shared" si="0"/>
        <v>70.599999999999994</v>
      </c>
      <c r="CH41" s="5"/>
    </row>
    <row r="42" spans="2:86" ht="20.100000000000001" customHeight="1" x14ac:dyDescent="0.25">
      <c r="E42" s="70">
        <f>E14+E24</f>
        <v>12.5</v>
      </c>
      <c r="F42">
        <f t="shared" ref="F42:L42" si="1">$E$42*F29</f>
        <v>25</v>
      </c>
      <c r="G42">
        <f t="shared" si="1"/>
        <v>37.5</v>
      </c>
      <c r="H42">
        <f t="shared" si="1"/>
        <v>50</v>
      </c>
      <c r="I42">
        <f t="shared" si="1"/>
        <v>62.5</v>
      </c>
      <c r="J42">
        <f t="shared" si="1"/>
        <v>75</v>
      </c>
      <c r="K42">
        <f t="shared" si="1"/>
        <v>87.5</v>
      </c>
      <c r="L42">
        <f t="shared" si="1"/>
        <v>100</v>
      </c>
      <c r="CH42" s="5"/>
    </row>
    <row r="43" spans="2:86" ht="20.100000000000001" customHeight="1" x14ac:dyDescent="0.25">
      <c r="E43">
        <f>E41/E42</f>
        <v>1</v>
      </c>
      <c r="F43">
        <f t="shared" ref="F43:L43" si="2">F41/F42</f>
        <v>0.88</v>
      </c>
      <c r="G43">
        <f t="shared" si="2"/>
        <v>0.82933333333333326</v>
      </c>
      <c r="H43">
        <f t="shared" si="2"/>
        <v>0.79</v>
      </c>
      <c r="I43">
        <f t="shared" si="2"/>
        <v>0.73599999999999999</v>
      </c>
      <c r="J43">
        <f t="shared" si="2"/>
        <v>0.72533333333333327</v>
      </c>
      <c r="K43">
        <f t="shared" si="2"/>
        <v>0.71685714285714286</v>
      </c>
      <c r="L43">
        <f t="shared" si="2"/>
        <v>0.70599999999999996</v>
      </c>
      <c r="M43">
        <v>0.7</v>
      </c>
      <c r="N43">
        <v>0.7</v>
      </c>
      <c r="CH43" s="5"/>
    </row>
    <row r="44" spans="2:86" ht="20.100000000000001" customHeight="1" x14ac:dyDescent="0.25">
      <c r="E44" s="74">
        <v>1</v>
      </c>
      <c r="F44" s="74">
        <v>2</v>
      </c>
      <c r="G44" s="74">
        <v>3</v>
      </c>
      <c r="H44" s="74">
        <v>4</v>
      </c>
      <c r="I44" s="74">
        <v>5</v>
      </c>
      <c r="J44" s="74">
        <v>6</v>
      </c>
      <c r="K44" s="74">
        <v>7</v>
      </c>
      <c r="L44" s="7">
        <v>8</v>
      </c>
      <c r="M44" s="2">
        <v>9</v>
      </c>
      <c r="N44" s="2">
        <v>10</v>
      </c>
      <c r="CH44" s="5"/>
    </row>
    <row r="45" spans="2:86" ht="20.100000000000001" customHeight="1" x14ac:dyDescent="0.25">
      <c r="E45" s="70">
        <f t="shared" ref="E45:L45" si="3">E14+E35</f>
        <v>16</v>
      </c>
      <c r="F45" s="70">
        <f t="shared" si="3"/>
        <v>28.299999999999997</v>
      </c>
      <c r="G45" s="70">
        <f t="shared" si="3"/>
        <v>40</v>
      </c>
      <c r="H45" s="70">
        <f t="shared" si="3"/>
        <v>50.9</v>
      </c>
      <c r="I45" s="70">
        <f t="shared" si="3"/>
        <v>59.7</v>
      </c>
      <c r="J45" s="70">
        <f t="shared" si="3"/>
        <v>70.599999999999994</v>
      </c>
      <c r="K45" s="70">
        <f t="shared" si="3"/>
        <v>81.625</v>
      </c>
      <c r="L45" s="70">
        <f t="shared" si="3"/>
        <v>91.6</v>
      </c>
      <c r="CH45" s="5"/>
    </row>
    <row r="46" spans="2:86" ht="20.100000000000001" customHeight="1" x14ac:dyDescent="0.25">
      <c r="E46" s="70">
        <f>E35+E14</f>
        <v>16</v>
      </c>
      <c r="F46">
        <f t="shared" ref="F46:L46" si="4">$E$46*F29</f>
        <v>32</v>
      </c>
      <c r="G46">
        <f t="shared" si="4"/>
        <v>48</v>
      </c>
      <c r="H46">
        <f t="shared" si="4"/>
        <v>64</v>
      </c>
      <c r="I46">
        <f t="shared" si="4"/>
        <v>80</v>
      </c>
      <c r="J46">
        <f t="shared" si="4"/>
        <v>96</v>
      </c>
      <c r="K46">
        <f t="shared" si="4"/>
        <v>112</v>
      </c>
      <c r="L46">
        <f t="shared" si="4"/>
        <v>128</v>
      </c>
      <c r="CH46" s="5"/>
    </row>
    <row r="47" spans="2:86" ht="20.100000000000001" customHeight="1" x14ac:dyDescent="0.25">
      <c r="E47">
        <f t="shared" ref="E47:L47" si="5">E45/E46</f>
        <v>1</v>
      </c>
      <c r="F47">
        <f t="shared" si="5"/>
        <v>0.88437499999999991</v>
      </c>
      <c r="G47">
        <f t="shared" si="5"/>
        <v>0.83333333333333337</v>
      </c>
      <c r="H47">
        <f t="shared" si="5"/>
        <v>0.79531249999999998</v>
      </c>
      <c r="I47">
        <f t="shared" si="5"/>
        <v>0.74625000000000008</v>
      </c>
      <c r="J47">
        <f t="shared" si="5"/>
        <v>0.73541666666666661</v>
      </c>
      <c r="K47">
        <f t="shared" si="5"/>
        <v>0.7287946428571429</v>
      </c>
      <c r="L47">
        <f t="shared" si="5"/>
        <v>0.71562499999999996</v>
      </c>
      <c r="M47">
        <v>0.7</v>
      </c>
      <c r="N47">
        <v>0.7</v>
      </c>
      <c r="CH47" s="5"/>
    </row>
    <row r="48" spans="2:86" ht="20.100000000000001" customHeight="1" x14ac:dyDescent="0.25">
      <c r="CH48" s="5"/>
    </row>
    <row r="49" spans="86:86" ht="20.100000000000001" customHeight="1" x14ac:dyDescent="0.25">
      <c r="CH49" s="5"/>
    </row>
    <row r="50" spans="86:86" ht="20.100000000000001" customHeight="1" x14ac:dyDescent="0.25">
      <c r="CH50" s="5"/>
    </row>
    <row r="51" spans="86:86" ht="20.100000000000001" customHeight="1" x14ac:dyDescent="0.25">
      <c r="CH51" s="5"/>
    </row>
    <row r="52" spans="86:86" ht="20.100000000000001" customHeight="1" x14ac:dyDescent="0.25">
      <c r="CH52" s="5"/>
    </row>
    <row r="53" spans="86:86" ht="20.100000000000001" customHeight="1" x14ac:dyDescent="0.25">
      <c r="CH53" s="5"/>
    </row>
    <row r="54" spans="86:86" ht="20.100000000000001" customHeight="1" x14ac:dyDescent="0.25">
      <c r="CH54" s="5"/>
    </row>
    <row r="55" spans="86:86" ht="20.100000000000001" customHeight="1" x14ac:dyDescent="0.25">
      <c r="CH55" s="5"/>
    </row>
    <row r="56" spans="86:86" ht="20.100000000000001" customHeight="1" x14ac:dyDescent="0.25">
      <c r="CH56" s="5"/>
    </row>
    <row r="57" spans="86:86" ht="20.100000000000001" customHeight="1" x14ac:dyDescent="0.25">
      <c r="CH57" s="5"/>
    </row>
    <row r="58" spans="86:86" ht="20.100000000000001" customHeight="1" x14ac:dyDescent="0.25">
      <c r="CH58" s="5"/>
    </row>
    <row r="59" spans="86:86" ht="20.100000000000001" customHeight="1" x14ac:dyDescent="0.25">
      <c r="CH59" s="5"/>
    </row>
    <row r="60" spans="86:86" ht="20.100000000000001" customHeight="1" x14ac:dyDescent="0.25">
      <c r="CH60" s="5"/>
    </row>
    <row r="61" spans="86:86" ht="20.100000000000001" customHeight="1" x14ac:dyDescent="0.25">
      <c r="CH61" s="5"/>
    </row>
    <row r="62" spans="86:86" ht="20.100000000000001" customHeight="1" x14ac:dyDescent="0.25">
      <c r="CH62" s="5"/>
    </row>
    <row r="63" spans="86:86" ht="20.100000000000001" customHeight="1" x14ac:dyDescent="0.25">
      <c r="CH63" s="5"/>
    </row>
    <row r="64" spans="86:86" ht="20.100000000000001" customHeight="1" x14ac:dyDescent="0.25">
      <c r="CH64" s="5"/>
    </row>
    <row r="65" spans="86:86" ht="20.100000000000001" customHeight="1" x14ac:dyDescent="0.25">
      <c r="CH65" s="5"/>
    </row>
    <row r="66" spans="86:86" ht="20.100000000000001" customHeight="1" x14ac:dyDescent="0.25">
      <c r="CH66" s="5"/>
    </row>
    <row r="67" spans="86:86" ht="20.100000000000001" customHeight="1" x14ac:dyDescent="0.25">
      <c r="CH67" s="5"/>
    </row>
    <row r="68" spans="86:86" ht="20.100000000000001" customHeight="1" x14ac:dyDescent="0.25">
      <c r="CH68" s="5"/>
    </row>
    <row r="69" spans="86:86" ht="20.100000000000001" customHeight="1" x14ac:dyDescent="0.25">
      <c r="CH69" s="5"/>
    </row>
    <row r="70" spans="86:86" ht="20.100000000000001" customHeight="1" x14ac:dyDescent="0.25">
      <c r="CH70" s="5"/>
    </row>
    <row r="71" spans="86:86" ht="20.100000000000001" customHeight="1" x14ac:dyDescent="0.25">
      <c r="CH71" s="5"/>
    </row>
    <row r="72" spans="86:86" ht="20.100000000000001" customHeight="1" x14ac:dyDescent="0.25">
      <c r="CH72" s="5"/>
    </row>
    <row r="73" spans="86:86" ht="20.100000000000001" customHeight="1" x14ac:dyDescent="0.25">
      <c r="CH73" s="5"/>
    </row>
    <row r="74" spans="86:86" ht="20.100000000000001" customHeight="1" x14ac:dyDescent="0.25">
      <c r="CH74" s="5"/>
    </row>
    <row r="75" spans="86:86" ht="20.100000000000001" customHeight="1" x14ac:dyDescent="0.25">
      <c r="CH75" s="5"/>
    </row>
    <row r="76" spans="86:86" ht="20.100000000000001" customHeight="1" x14ac:dyDescent="0.25">
      <c r="CH76" s="5"/>
    </row>
    <row r="77" spans="86:86" ht="20.100000000000001" customHeight="1" x14ac:dyDescent="0.25">
      <c r="CH77" s="5"/>
    </row>
    <row r="78" spans="86:86" ht="20.100000000000001" customHeight="1" x14ac:dyDescent="0.25">
      <c r="CH78" s="5"/>
    </row>
    <row r="79" spans="86:86" ht="20.100000000000001" customHeight="1" x14ac:dyDescent="0.25">
      <c r="CH79" s="5"/>
    </row>
    <row r="80" spans="86:86" ht="20.100000000000001" customHeight="1" x14ac:dyDescent="0.25">
      <c r="CH80" s="5"/>
    </row>
    <row r="81" spans="86:86" ht="20.100000000000001" customHeight="1" x14ac:dyDescent="0.25">
      <c r="CH81" s="5"/>
    </row>
    <row r="82" spans="86:86" ht="20.100000000000001" customHeight="1" x14ac:dyDescent="0.25">
      <c r="CH82" s="5"/>
    </row>
    <row r="83" spans="86:86" x14ac:dyDescent="0.25">
      <c r="CH83" s="5"/>
    </row>
    <row r="84" spans="86:86" x14ac:dyDescent="0.25">
      <c r="CH84" s="5"/>
    </row>
    <row r="85" spans="86:86" x14ac:dyDescent="0.25">
      <c r="CH85" s="5"/>
    </row>
    <row r="86" spans="86:86" x14ac:dyDescent="0.25">
      <c r="CH86" s="5"/>
    </row>
    <row r="87" spans="86:86" x14ac:dyDescent="0.25">
      <c r="CH87" s="5"/>
    </row>
    <row r="88" spans="86:86" x14ac:dyDescent="0.25">
      <c r="CH88" s="5"/>
    </row>
    <row r="89" spans="86:86" x14ac:dyDescent="0.25">
      <c r="CH89" s="5"/>
    </row>
    <row r="90" spans="86:86" x14ac:dyDescent="0.25">
      <c r="CH90" s="5"/>
    </row>
    <row r="91" spans="86:86" x14ac:dyDescent="0.25">
      <c r="CH91" s="5"/>
    </row>
    <row r="92" spans="86:86" x14ac:dyDescent="0.25">
      <c r="CH92" s="5"/>
    </row>
    <row r="93" spans="86:86" x14ac:dyDescent="0.25">
      <c r="CH93" s="5"/>
    </row>
    <row r="94" spans="86:86" x14ac:dyDescent="0.25">
      <c r="CH94" s="5"/>
    </row>
    <row r="95" spans="86:86" x14ac:dyDescent="0.25">
      <c r="CH95" s="5"/>
    </row>
    <row r="96" spans="86:86" x14ac:dyDescent="0.25">
      <c r="CH96" s="5"/>
    </row>
    <row r="97" spans="86:86" x14ac:dyDescent="0.25">
      <c r="CH97" s="5"/>
    </row>
    <row r="98" spans="86:86" x14ac:dyDescent="0.25">
      <c r="CH98" s="5"/>
    </row>
    <row r="99" spans="86:86" x14ac:dyDescent="0.25">
      <c r="CH99" s="5"/>
    </row>
    <row r="100" spans="86:86" x14ac:dyDescent="0.25">
      <c r="CH100" s="5"/>
    </row>
    <row r="101" spans="86:86" x14ac:dyDescent="0.25">
      <c r="CH101" s="5"/>
    </row>
    <row r="102" spans="86:86" x14ac:dyDescent="0.25">
      <c r="CH102" s="5"/>
    </row>
    <row r="103" spans="86:86" x14ac:dyDescent="0.25">
      <c r="CH103" s="5"/>
    </row>
    <row r="104" spans="86:86" x14ac:dyDescent="0.25">
      <c r="CH104" s="5"/>
    </row>
    <row r="105" spans="86:86" x14ac:dyDescent="0.25">
      <c r="CH105" s="5"/>
    </row>
    <row r="106" spans="86:86" x14ac:dyDescent="0.25">
      <c r="CH106" s="5"/>
    </row>
    <row r="107" spans="86:86" x14ac:dyDescent="0.25">
      <c r="CH107" s="5"/>
    </row>
    <row r="108" spans="86:86" x14ac:dyDescent="0.25">
      <c r="CH108" s="5"/>
    </row>
    <row r="109" spans="86:86" x14ac:dyDescent="0.25">
      <c r="CH109" s="5"/>
    </row>
    <row r="110" spans="86:86" x14ac:dyDescent="0.25">
      <c r="CH110" s="5"/>
    </row>
    <row r="111" spans="86:86" x14ac:dyDescent="0.25">
      <c r="CH111" s="5"/>
    </row>
    <row r="112" spans="86:86" x14ac:dyDescent="0.25">
      <c r="CH112" s="5"/>
    </row>
    <row r="113" spans="86:86" x14ac:dyDescent="0.25">
      <c r="CH113" s="5"/>
    </row>
    <row r="114" spans="86:86" x14ac:dyDescent="0.25">
      <c r="CH114" s="5"/>
    </row>
    <row r="115" spans="86:86" x14ac:dyDescent="0.25">
      <c r="CH115" s="5"/>
    </row>
    <row r="116" spans="86:86" x14ac:dyDescent="0.25">
      <c r="CH116" s="5"/>
    </row>
    <row r="117" spans="86:86" x14ac:dyDescent="0.25">
      <c r="CH117" s="5"/>
    </row>
    <row r="118" spans="86:86" x14ac:dyDescent="0.25">
      <c r="CH118" s="5"/>
    </row>
    <row r="119" spans="86:86" x14ac:dyDescent="0.25">
      <c r="CH119" s="5"/>
    </row>
    <row r="120" spans="86:86" x14ac:dyDescent="0.25">
      <c r="CH120" s="5"/>
    </row>
    <row r="121" spans="86:86" x14ac:dyDescent="0.25">
      <c r="CH121" s="5"/>
    </row>
    <row r="122" spans="86:86" x14ac:dyDescent="0.25">
      <c r="CH122" s="5"/>
    </row>
    <row r="123" spans="86:86" x14ac:dyDescent="0.25">
      <c r="CH123" s="5"/>
    </row>
    <row r="124" spans="86:86" x14ac:dyDescent="0.25">
      <c r="CH124" s="5"/>
    </row>
    <row r="125" spans="86:86" x14ac:dyDescent="0.25">
      <c r="CH125" s="5"/>
    </row>
    <row r="126" spans="86:86" x14ac:dyDescent="0.25">
      <c r="CH126" s="5"/>
    </row>
    <row r="127" spans="86:86" x14ac:dyDescent="0.25">
      <c r="CH127" s="5"/>
    </row>
    <row r="128" spans="86:86" x14ac:dyDescent="0.25">
      <c r="CH128" s="5"/>
    </row>
    <row r="129" spans="86:86" x14ac:dyDescent="0.25">
      <c r="CH129" s="5"/>
    </row>
    <row r="130" spans="86:86" x14ac:dyDescent="0.25">
      <c r="CH130" s="5"/>
    </row>
    <row r="131" spans="86:86" x14ac:dyDescent="0.25">
      <c r="CH131" s="5"/>
    </row>
    <row r="132" spans="86:86" x14ac:dyDescent="0.25">
      <c r="CH132" s="5"/>
    </row>
    <row r="133" spans="86:86" x14ac:dyDescent="0.25">
      <c r="CH133" s="5"/>
    </row>
    <row r="134" spans="86:86" x14ac:dyDescent="0.25">
      <c r="CH134" s="5"/>
    </row>
    <row r="135" spans="86:86" x14ac:dyDescent="0.25">
      <c r="CH135" s="5"/>
    </row>
    <row r="136" spans="86:86" x14ac:dyDescent="0.25">
      <c r="CH136" s="5"/>
    </row>
    <row r="137" spans="86:86" x14ac:dyDescent="0.25">
      <c r="CH137" s="5"/>
    </row>
    <row r="138" spans="86:86" x14ac:dyDescent="0.25">
      <c r="CH138" s="5"/>
    </row>
    <row r="139" spans="86:86" x14ac:dyDescent="0.25">
      <c r="CH139" s="5"/>
    </row>
    <row r="140" spans="86:86" x14ac:dyDescent="0.25">
      <c r="CH140" s="5"/>
    </row>
    <row r="141" spans="86:86" x14ac:dyDescent="0.25">
      <c r="CH141" s="5"/>
    </row>
    <row r="142" spans="86:86" x14ac:dyDescent="0.25">
      <c r="CH142" s="5"/>
    </row>
    <row r="143" spans="86:86" x14ac:dyDescent="0.25">
      <c r="CH143" s="5"/>
    </row>
    <row r="144" spans="86:86" x14ac:dyDescent="0.25">
      <c r="CH144" s="5"/>
    </row>
    <row r="145" spans="86:86" x14ac:dyDescent="0.25">
      <c r="CH145" s="5"/>
    </row>
    <row r="146" spans="86:86" x14ac:dyDescent="0.25">
      <c r="CH146" s="5"/>
    </row>
    <row r="147" spans="86:86" x14ac:dyDescent="0.25">
      <c r="CH147" s="5"/>
    </row>
    <row r="148" spans="86:86" x14ac:dyDescent="0.25">
      <c r="CH148" s="5"/>
    </row>
    <row r="149" spans="86:86" x14ac:dyDescent="0.25">
      <c r="CH149" s="5"/>
    </row>
    <row r="150" spans="86:86" x14ac:dyDescent="0.25">
      <c r="CH150" s="5"/>
    </row>
    <row r="151" spans="86:86" x14ac:dyDescent="0.25">
      <c r="CH151" s="5"/>
    </row>
    <row r="152" spans="86:86" x14ac:dyDescent="0.25">
      <c r="CH152" s="5"/>
    </row>
    <row r="153" spans="86:86" x14ac:dyDescent="0.25">
      <c r="CH153" s="5"/>
    </row>
    <row r="154" spans="86:86" x14ac:dyDescent="0.25">
      <c r="CH154" s="5"/>
    </row>
    <row r="155" spans="86:86" x14ac:dyDescent="0.25">
      <c r="CH155" s="5"/>
    </row>
    <row r="156" spans="86:86" x14ac:dyDescent="0.25">
      <c r="CH156" s="5"/>
    </row>
    <row r="157" spans="86:86" x14ac:dyDescent="0.25">
      <c r="CH157" s="5"/>
    </row>
    <row r="158" spans="86:86" x14ac:dyDescent="0.25">
      <c r="CH158" s="5"/>
    </row>
    <row r="159" spans="86:86" x14ac:dyDescent="0.25">
      <c r="CH159" s="5"/>
    </row>
    <row r="160" spans="86:86" x14ac:dyDescent="0.25">
      <c r="CH160" s="5"/>
    </row>
    <row r="161" spans="86:86" x14ac:dyDescent="0.25">
      <c r="CH161" s="5"/>
    </row>
    <row r="162" spans="86:86" x14ac:dyDescent="0.25">
      <c r="CH162" s="5"/>
    </row>
    <row r="163" spans="86:86" x14ac:dyDescent="0.25">
      <c r="CH163" s="5"/>
    </row>
    <row r="164" spans="86:86" x14ac:dyDescent="0.25">
      <c r="CH164" s="5"/>
    </row>
    <row r="165" spans="86:86" x14ac:dyDescent="0.25">
      <c r="CH165" s="5"/>
    </row>
    <row r="166" spans="86:86" x14ac:dyDescent="0.25">
      <c r="CH166" s="5"/>
    </row>
    <row r="167" spans="86:86" x14ac:dyDescent="0.25">
      <c r="CH167" s="5"/>
    </row>
    <row r="168" spans="86:86" x14ac:dyDescent="0.25">
      <c r="CH168" s="5"/>
    </row>
    <row r="169" spans="86:86" x14ac:dyDescent="0.25">
      <c r="CH169" s="5"/>
    </row>
    <row r="170" spans="86:86" x14ac:dyDescent="0.25">
      <c r="CH170" s="5"/>
    </row>
    <row r="171" spans="86:86" x14ac:dyDescent="0.25">
      <c r="CH171" s="5"/>
    </row>
    <row r="172" spans="86:86" x14ac:dyDescent="0.25">
      <c r="CH172" s="5"/>
    </row>
    <row r="173" spans="86:86" x14ac:dyDescent="0.25">
      <c r="CH173" s="5"/>
    </row>
    <row r="174" spans="86:86" x14ac:dyDescent="0.25">
      <c r="CH174" s="5"/>
    </row>
    <row r="175" spans="86:86" x14ac:dyDescent="0.25">
      <c r="CH175" s="5"/>
    </row>
    <row r="176" spans="86:86" x14ac:dyDescent="0.25">
      <c r="CH176" s="5"/>
    </row>
    <row r="177" spans="86:86" x14ac:dyDescent="0.25">
      <c r="CH177" s="5"/>
    </row>
    <row r="178" spans="86:86" x14ac:dyDescent="0.25">
      <c r="CH178" s="5"/>
    </row>
    <row r="179" spans="86:86" x14ac:dyDescent="0.25">
      <c r="CH179" s="5"/>
    </row>
    <row r="180" spans="86:86" x14ac:dyDescent="0.25">
      <c r="CH180" s="5"/>
    </row>
    <row r="181" spans="86:86" x14ac:dyDescent="0.25">
      <c r="CH181" s="5"/>
    </row>
    <row r="182" spans="86:86" x14ac:dyDescent="0.25">
      <c r="CH182" s="5"/>
    </row>
    <row r="183" spans="86:86" x14ac:dyDescent="0.25">
      <c r="CH183" s="5"/>
    </row>
    <row r="184" spans="86:86" x14ac:dyDescent="0.25">
      <c r="CH184" s="5"/>
    </row>
    <row r="185" spans="86:86" x14ac:dyDescent="0.25">
      <c r="CH185" s="5"/>
    </row>
    <row r="186" spans="86:86" x14ac:dyDescent="0.25">
      <c r="CH186" s="5"/>
    </row>
    <row r="187" spans="86:86" x14ac:dyDescent="0.25">
      <c r="CH187" s="5"/>
    </row>
    <row r="188" spans="86:86" x14ac:dyDescent="0.25">
      <c r="CH188" s="5"/>
    </row>
    <row r="189" spans="86:86" x14ac:dyDescent="0.25">
      <c r="CH189" s="5"/>
    </row>
    <row r="190" spans="86:86" x14ac:dyDescent="0.25">
      <c r="CH190" s="5"/>
    </row>
    <row r="191" spans="86:86" x14ac:dyDescent="0.25">
      <c r="CH191" s="5"/>
    </row>
    <row r="192" spans="86:86" x14ac:dyDescent="0.25">
      <c r="CH192" s="5"/>
    </row>
    <row r="193" spans="86:86" x14ac:dyDescent="0.25">
      <c r="CH193" s="5"/>
    </row>
    <row r="194" spans="86:86" x14ac:dyDescent="0.25">
      <c r="CH194" s="5"/>
    </row>
    <row r="195" spans="86:86" x14ac:dyDescent="0.25">
      <c r="CH195" s="5"/>
    </row>
    <row r="196" spans="86:86" x14ac:dyDescent="0.25">
      <c r="CH196" s="5"/>
    </row>
    <row r="197" spans="86:86" x14ac:dyDescent="0.25">
      <c r="CH197" s="5"/>
    </row>
    <row r="198" spans="86:86" x14ac:dyDescent="0.25">
      <c r="CH198" s="5"/>
    </row>
    <row r="199" spans="86:86" x14ac:dyDescent="0.25">
      <c r="CH199" s="5"/>
    </row>
    <row r="200" spans="86:86" x14ac:dyDescent="0.25">
      <c r="CH200" s="5"/>
    </row>
    <row r="201" spans="86:86" x14ac:dyDescent="0.25">
      <c r="CH201" s="5"/>
    </row>
    <row r="202" spans="86:86" x14ac:dyDescent="0.25">
      <c r="CH202" s="5"/>
    </row>
    <row r="203" spans="86:86" x14ac:dyDescent="0.25">
      <c r="CH203" s="5"/>
    </row>
    <row r="204" spans="86:86" x14ac:dyDescent="0.25">
      <c r="CH204" s="5"/>
    </row>
    <row r="205" spans="86:86" x14ac:dyDescent="0.25">
      <c r="CH205" s="5"/>
    </row>
    <row r="206" spans="86:86" x14ac:dyDescent="0.25">
      <c r="CH206" s="5"/>
    </row>
    <row r="207" spans="86:86" x14ac:dyDescent="0.25">
      <c r="CH207" s="5"/>
    </row>
    <row r="208" spans="86:86" x14ac:dyDescent="0.25">
      <c r="CH208" s="5"/>
    </row>
    <row r="209" spans="86:86" x14ac:dyDescent="0.25">
      <c r="CH209" s="5"/>
    </row>
    <row r="210" spans="86:86" x14ac:dyDescent="0.25">
      <c r="CH210" s="5"/>
    </row>
    <row r="211" spans="86:86" x14ac:dyDescent="0.25">
      <c r="CH211" s="5"/>
    </row>
    <row r="212" spans="86:86" x14ac:dyDescent="0.25">
      <c r="CH212" s="5"/>
    </row>
    <row r="213" spans="86:86" x14ac:dyDescent="0.25">
      <c r="CH213" s="5"/>
    </row>
    <row r="214" spans="86:86" x14ac:dyDescent="0.25">
      <c r="CH214" s="5"/>
    </row>
    <row r="215" spans="86:86" x14ac:dyDescent="0.25">
      <c r="CH215" s="5"/>
    </row>
    <row r="216" spans="86:86" x14ac:dyDescent="0.25">
      <c r="CH216" s="5"/>
    </row>
    <row r="217" spans="86:86" x14ac:dyDescent="0.25">
      <c r="CH217" s="5"/>
    </row>
    <row r="218" spans="86:86" x14ac:dyDescent="0.25">
      <c r="CH218" s="5"/>
    </row>
    <row r="219" spans="86:86" x14ac:dyDescent="0.25">
      <c r="CH219" s="5"/>
    </row>
    <row r="220" spans="86:86" x14ac:dyDescent="0.25">
      <c r="CH220" s="5"/>
    </row>
    <row r="221" spans="86:86" x14ac:dyDescent="0.25">
      <c r="CH221" s="5"/>
    </row>
    <row r="222" spans="86:86" x14ac:dyDescent="0.25">
      <c r="CH222" s="5"/>
    </row>
    <row r="223" spans="86:86" x14ac:dyDescent="0.25">
      <c r="CH223" s="5"/>
    </row>
    <row r="224" spans="86:86" x14ac:dyDescent="0.25">
      <c r="CH224" s="5"/>
    </row>
    <row r="225" spans="86:86" x14ac:dyDescent="0.25">
      <c r="CH225" s="5"/>
    </row>
    <row r="226" spans="86:86" x14ac:dyDescent="0.25">
      <c r="CH226" s="5"/>
    </row>
    <row r="227" spans="86:86" x14ac:dyDescent="0.25">
      <c r="CH227" s="5"/>
    </row>
    <row r="228" spans="86:86" x14ac:dyDescent="0.25">
      <c r="CH228" s="5"/>
    </row>
    <row r="229" spans="86:86" x14ac:dyDescent="0.25">
      <c r="CH229" s="5"/>
    </row>
    <row r="230" spans="86:86" x14ac:dyDescent="0.25">
      <c r="CH230" s="5"/>
    </row>
    <row r="231" spans="86:86" x14ac:dyDescent="0.25">
      <c r="CH231" s="5"/>
    </row>
    <row r="232" spans="86:86" x14ac:dyDescent="0.25">
      <c r="CH232" s="5"/>
    </row>
    <row r="233" spans="86:86" x14ac:dyDescent="0.25">
      <c r="CH233" s="5"/>
    </row>
    <row r="234" spans="86:86" x14ac:dyDescent="0.25">
      <c r="CH234" s="5"/>
    </row>
    <row r="235" spans="86:86" x14ac:dyDescent="0.25">
      <c r="CH235" s="5"/>
    </row>
    <row r="236" spans="86:86" x14ac:dyDescent="0.25">
      <c r="CH236" s="5"/>
    </row>
    <row r="237" spans="86:86" x14ac:dyDescent="0.25">
      <c r="CH237" s="5"/>
    </row>
    <row r="238" spans="86:86" x14ac:dyDescent="0.25">
      <c r="CH238" s="5"/>
    </row>
    <row r="239" spans="86:86" x14ac:dyDescent="0.25">
      <c r="CH239" s="5"/>
    </row>
    <row r="240" spans="86:86" x14ac:dyDescent="0.25">
      <c r="CH240" s="5"/>
    </row>
    <row r="241" spans="86:86" x14ac:dyDescent="0.25">
      <c r="CH241" s="5"/>
    </row>
    <row r="242" spans="86:86" x14ac:dyDescent="0.25">
      <c r="CH242" s="5"/>
    </row>
    <row r="243" spans="86:86" x14ac:dyDescent="0.25">
      <c r="CH243" s="5"/>
    </row>
    <row r="244" spans="86:86" x14ac:dyDescent="0.25">
      <c r="CH244" s="5"/>
    </row>
    <row r="245" spans="86:86" x14ac:dyDescent="0.25">
      <c r="CH245" s="5"/>
    </row>
    <row r="246" spans="86:86" x14ac:dyDescent="0.25">
      <c r="CH246" s="5"/>
    </row>
    <row r="247" spans="86:86" x14ac:dyDescent="0.25">
      <c r="CH247" s="5"/>
    </row>
    <row r="248" spans="86:86" x14ac:dyDescent="0.25">
      <c r="CH248" s="5"/>
    </row>
    <row r="249" spans="86:86" x14ac:dyDescent="0.25">
      <c r="CH249" s="5"/>
    </row>
    <row r="250" spans="86:86" x14ac:dyDescent="0.25">
      <c r="CH250" s="5"/>
    </row>
    <row r="251" spans="86:86" x14ac:dyDescent="0.25">
      <c r="CH251" s="5"/>
    </row>
    <row r="252" spans="86:86" x14ac:dyDescent="0.25">
      <c r="CH252" s="5"/>
    </row>
    <row r="253" spans="86:86" x14ac:dyDescent="0.25">
      <c r="CH253" s="5"/>
    </row>
    <row r="254" spans="86:86" x14ac:dyDescent="0.25">
      <c r="CH254" s="5"/>
    </row>
    <row r="255" spans="86:86" x14ac:dyDescent="0.25">
      <c r="CH255" s="5"/>
    </row>
    <row r="256" spans="86:86" x14ac:dyDescent="0.25">
      <c r="CH256" s="5"/>
    </row>
    <row r="257" spans="86:86" x14ac:dyDescent="0.25">
      <c r="CH257" s="5"/>
    </row>
    <row r="258" spans="86:86" x14ac:dyDescent="0.25">
      <c r="CH258" s="5"/>
    </row>
    <row r="259" spans="86:86" x14ac:dyDescent="0.25">
      <c r="CH259" s="5"/>
    </row>
    <row r="260" spans="86:86" x14ac:dyDescent="0.25">
      <c r="CH260" s="5"/>
    </row>
    <row r="261" spans="86:86" x14ac:dyDescent="0.25">
      <c r="CH261" s="5"/>
    </row>
    <row r="262" spans="86:86" x14ac:dyDescent="0.25">
      <c r="CH262" s="5"/>
    </row>
    <row r="263" spans="86:86" x14ac:dyDescent="0.25">
      <c r="CH263" s="5"/>
    </row>
    <row r="264" spans="86:86" x14ac:dyDescent="0.25">
      <c r="CH264" s="5"/>
    </row>
    <row r="265" spans="86:86" x14ac:dyDescent="0.25">
      <c r="CH265" s="5"/>
    </row>
    <row r="266" spans="86:86" x14ac:dyDescent="0.25">
      <c r="CH266" s="5"/>
    </row>
    <row r="267" spans="86:86" x14ac:dyDescent="0.25">
      <c r="CH267" s="5"/>
    </row>
    <row r="268" spans="86:86" x14ac:dyDescent="0.25">
      <c r="CH268" s="5"/>
    </row>
    <row r="269" spans="86:86" x14ac:dyDescent="0.25">
      <c r="CH269" s="5"/>
    </row>
    <row r="270" spans="86:86" x14ac:dyDescent="0.25">
      <c r="CH270" s="5"/>
    </row>
    <row r="271" spans="86:86" x14ac:dyDescent="0.25">
      <c r="CH271" s="5"/>
    </row>
    <row r="272" spans="86:86" x14ac:dyDescent="0.25">
      <c r="CH272" s="5"/>
    </row>
    <row r="273" spans="86:86" x14ac:dyDescent="0.25">
      <c r="CH273" s="5"/>
    </row>
    <row r="274" spans="86:86" x14ac:dyDescent="0.25">
      <c r="CH274" s="5"/>
    </row>
    <row r="275" spans="86:86" x14ac:dyDescent="0.25">
      <c r="CH275" s="5"/>
    </row>
    <row r="276" spans="86:86" x14ac:dyDescent="0.25">
      <c r="CH276" s="5"/>
    </row>
    <row r="277" spans="86:86" x14ac:dyDescent="0.25">
      <c r="CH277" s="5"/>
    </row>
    <row r="278" spans="86:86" x14ac:dyDescent="0.25">
      <c r="CH278" s="5"/>
    </row>
    <row r="279" spans="86:86" x14ac:dyDescent="0.25">
      <c r="CH279" s="5"/>
    </row>
    <row r="280" spans="86:86" x14ac:dyDescent="0.25">
      <c r="CH280" s="5"/>
    </row>
    <row r="281" spans="86:86" x14ac:dyDescent="0.25">
      <c r="CH281" s="5"/>
    </row>
    <row r="282" spans="86:86" x14ac:dyDescent="0.25">
      <c r="CH282" s="5"/>
    </row>
    <row r="283" spans="86:86" x14ac:dyDescent="0.25">
      <c r="CH283" s="5"/>
    </row>
    <row r="284" spans="86:86" x14ac:dyDescent="0.25">
      <c r="CH284" s="5"/>
    </row>
    <row r="285" spans="86:86" x14ac:dyDescent="0.25">
      <c r="CH285" s="5"/>
    </row>
    <row r="286" spans="86:86" x14ac:dyDescent="0.25">
      <c r="CH286" s="5"/>
    </row>
    <row r="287" spans="86:86" x14ac:dyDescent="0.25">
      <c r="CH287" s="5"/>
    </row>
    <row r="288" spans="86:86" x14ac:dyDescent="0.25">
      <c r="CH288" s="5"/>
    </row>
    <row r="289" spans="86:86" x14ac:dyDescent="0.25">
      <c r="CH289" s="5"/>
    </row>
    <row r="290" spans="86:86" x14ac:dyDescent="0.25">
      <c r="CH290" s="5"/>
    </row>
    <row r="291" spans="86:86" x14ac:dyDescent="0.25">
      <c r="CH291" s="5"/>
    </row>
    <row r="292" spans="86:86" x14ac:dyDescent="0.25">
      <c r="CH292" s="5"/>
    </row>
    <row r="293" spans="86:86" x14ac:dyDescent="0.25">
      <c r="CH293" s="5"/>
    </row>
    <row r="294" spans="86:86" x14ac:dyDescent="0.25">
      <c r="CH294" s="5"/>
    </row>
    <row r="295" spans="86:86" x14ac:dyDescent="0.25">
      <c r="CH295" s="5"/>
    </row>
    <row r="296" spans="86:86" x14ac:dyDescent="0.25">
      <c r="CH296" s="5"/>
    </row>
    <row r="297" spans="86:86" x14ac:dyDescent="0.25">
      <c r="CH297" s="5"/>
    </row>
    <row r="298" spans="86:86" x14ac:dyDescent="0.25">
      <c r="CH298" s="5"/>
    </row>
    <row r="299" spans="86:86" x14ac:dyDescent="0.25">
      <c r="CH299" s="5"/>
    </row>
    <row r="300" spans="86:86" x14ac:dyDescent="0.25">
      <c r="CH300" s="5"/>
    </row>
    <row r="301" spans="86:86" x14ac:dyDescent="0.25">
      <c r="CH301" s="5"/>
    </row>
    <row r="302" spans="86:86" x14ac:dyDescent="0.25">
      <c r="CH302" s="5"/>
    </row>
    <row r="303" spans="86:86" x14ac:dyDescent="0.25">
      <c r="CH303" s="5"/>
    </row>
    <row r="304" spans="86:86" x14ac:dyDescent="0.25">
      <c r="CH304" s="5"/>
    </row>
    <row r="305" spans="86:86" x14ac:dyDescent="0.25">
      <c r="CH305" s="5"/>
    </row>
    <row r="306" spans="86:86" x14ac:dyDescent="0.25">
      <c r="CH306" s="5"/>
    </row>
    <row r="307" spans="86:86" x14ac:dyDescent="0.25">
      <c r="CH307" s="5"/>
    </row>
    <row r="308" spans="86:86" x14ac:dyDescent="0.25">
      <c r="CH308" s="5"/>
    </row>
    <row r="309" spans="86:86" x14ac:dyDescent="0.25">
      <c r="CH309" s="5"/>
    </row>
    <row r="310" spans="86:86" x14ac:dyDescent="0.25">
      <c r="CH310" s="5"/>
    </row>
    <row r="311" spans="86:86" x14ac:dyDescent="0.25">
      <c r="CH311" s="5"/>
    </row>
    <row r="312" spans="86:86" x14ac:dyDescent="0.25">
      <c r="CH312" s="5"/>
    </row>
    <row r="313" spans="86:86" x14ac:dyDescent="0.25">
      <c r="CH313" s="5"/>
    </row>
    <row r="314" spans="86:86" x14ac:dyDescent="0.25">
      <c r="CH314" s="5"/>
    </row>
    <row r="315" spans="86:86" x14ac:dyDescent="0.25">
      <c r="CH315" s="5"/>
    </row>
    <row r="316" spans="86:86" x14ac:dyDescent="0.25">
      <c r="CH316" s="5"/>
    </row>
    <row r="317" spans="86:86" x14ac:dyDescent="0.25">
      <c r="CH317" s="5"/>
    </row>
    <row r="318" spans="86:86" x14ac:dyDescent="0.25">
      <c r="CH318" s="5"/>
    </row>
    <row r="319" spans="86:86" x14ac:dyDescent="0.25">
      <c r="CH319" s="5"/>
    </row>
    <row r="320" spans="86:86" x14ac:dyDescent="0.25">
      <c r="CH320" s="5"/>
    </row>
    <row r="321" spans="86:86" x14ac:dyDescent="0.25">
      <c r="CH321" s="5"/>
    </row>
    <row r="322" spans="86:86" x14ac:dyDescent="0.25">
      <c r="CH322" s="5"/>
    </row>
    <row r="323" spans="86:86" x14ac:dyDescent="0.25">
      <c r="CH323" s="5"/>
    </row>
    <row r="324" spans="86:86" x14ac:dyDescent="0.25">
      <c r="CH324" s="5"/>
    </row>
    <row r="325" spans="86:86" x14ac:dyDescent="0.25">
      <c r="CH325" s="5"/>
    </row>
    <row r="326" spans="86:86" x14ac:dyDescent="0.25">
      <c r="CH326" s="5"/>
    </row>
    <row r="327" spans="86:86" x14ac:dyDescent="0.25">
      <c r="CH327" s="5"/>
    </row>
    <row r="328" spans="86:86" x14ac:dyDescent="0.25">
      <c r="CH328" s="5"/>
    </row>
    <row r="329" spans="86:86" x14ac:dyDescent="0.25">
      <c r="CH329" s="5"/>
    </row>
    <row r="330" spans="86:86" x14ac:dyDescent="0.25">
      <c r="CH330" s="5"/>
    </row>
    <row r="331" spans="86:86" x14ac:dyDescent="0.25">
      <c r="CH331" s="5"/>
    </row>
    <row r="332" spans="86:86" x14ac:dyDescent="0.25">
      <c r="CH332" s="5"/>
    </row>
    <row r="333" spans="86:86" x14ac:dyDescent="0.25">
      <c r="CH333" s="5"/>
    </row>
    <row r="334" spans="86:86" x14ac:dyDescent="0.25">
      <c r="CH334" s="5"/>
    </row>
    <row r="335" spans="86:86" x14ac:dyDescent="0.25">
      <c r="CH335" s="5"/>
    </row>
    <row r="336" spans="86:86" x14ac:dyDescent="0.25">
      <c r="CH336" s="5"/>
    </row>
    <row r="337" spans="86:86" x14ac:dyDescent="0.25">
      <c r="CH337" s="5"/>
    </row>
    <row r="338" spans="86:86" x14ac:dyDescent="0.25">
      <c r="CH338" s="5"/>
    </row>
    <row r="339" spans="86:86" x14ac:dyDescent="0.25">
      <c r="CH339" s="5"/>
    </row>
    <row r="340" spans="86:86" x14ac:dyDescent="0.25">
      <c r="CH340" s="5"/>
    </row>
    <row r="341" spans="86:86" x14ac:dyDescent="0.25">
      <c r="CH341" s="5"/>
    </row>
    <row r="342" spans="86:86" x14ac:dyDescent="0.25">
      <c r="CH342" s="5"/>
    </row>
    <row r="343" spans="86:86" x14ac:dyDescent="0.25">
      <c r="CH343" s="5"/>
    </row>
    <row r="344" spans="86:86" x14ac:dyDescent="0.25">
      <c r="CH344" s="5"/>
    </row>
    <row r="345" spans="86:86" x14ac:dyDescent="0.25">
      <c r="CH345" s="5"/>
    </row>
    <row r="346" spans="86:86" x14ac:dyDescent="0.25">
      <c r="CH346" s="5"/>
    </row>
    <row r="347" spans="86:86" x14ac:dyDescent="0.25">
      <c r="CH347" s="5"/>
    </row>
    <row r="348" spans="86:86" x14ac:dyDescent="0.25">
      <c r="CH348" s="5"/>
    </row>
    <row r="349" spans="86:86" x14ac:dyDescent="0.25">
      <c r="CH349" s="5"/>
    </row>
    <row r="350" spans="86:86" x14ac:dyDescent="0.25">
      <c r="CH350" s="5"/>
    </row>
    <row r="351" spans="86:86" x14ac:dyDescent="0.25">
      <c r="CH351" s="5"/>
    </row>
    <row r="352" spans="86:86" x14ac:dyDescent="0.25">
      <c r="CH352" s="5"/>
    </row>
    <row r="353" spans="86:86" x14ac:dyDescent="0.25">
      <c r="CH353" s="5"/>
    </row>
    <row r="354" spans="86:86" x14ac:dyDescent="0.25">
      <c r="CH354" s="5"/>
    </row>
    <row r="355" spans="86:86" x14ac:dyDescent="0.25">
      <c r="CH355" s="5"/>
    </row>
    <row r="356" spans="86:86" x14ac:dyDescent="0.25">
      <c r="CH356" s="5"/>
    </row>
    <row r="357" spans="86:86" x14ac:dyDescent="0.25">
      <c r="CH357" s="5"/>
    </row>
    <row r="358" spans="86:86" x14ac:dyDescent="0.25">
      <c r="CH358" s="5"/>
    </row>
    <row r="359" spans="86:86" x14ac:dyDescent="0.25">
      <c r="CH359" s="5"/>
    </row>
    <row r="360" spans="86:86" x14ac:dyDescent="0.25">
      <c r="CH360" s="5"/>
    </row>
    <row r="361" spans="86:86" x14ac:dyDescent="0.25">
      <c r="CH361" s="5"/>
    </row>
    <row r="362" spans="86:86" x14ac:dyDescent="0.25">
      <c r="CH362" s="5"/>
    </row>
    <row r="363" spans="86:86" x14ac:dyDescent="0.25">
      <c r="CH363" s="5"/>
    </row>
    <row r="364" spans="86:86" x14ac:dyDescent="0.25">
      <c r="CH364" s="5"/>
    </row>
    <row r="365" spans="86:86" x14ac:dyDescent="0.25">
      <c r="CH365" s="5"/>
    </row>
    <row r="366" spans="86:86" x14ac:dyDescent="0.25">
      <c r="CH366" s="5"/>
    </row>
    <row r="367" spans="86:86" x14ac:dyDescent="0.25">
      <c r="CH367" s="5"/>
    </row>
    <row r="368" spans="86:86" x14ac:dyDescent="0.25">
      <c r="CH368" s="5"/>
    </row>
    <row r="369" spans="86:86" x14ac:dyDescent="0.25">
      <c r="CH369" s="5"/>
    </row>
    <row r="370" spans="86:86" x14ac:dyDescent="0.25">
      <c r="CH370" s="5"/>
    </row>
    <row r="371" spans="86:86" x14ac:dyDescent="0.25">
      <c r="CH371" s="5"/>
    </row>
    <row r="372" spans="86:86" x14ac:dyDescent="0.25">
      <c r="CH372" s="5"/>
    </row>
    <row r="373" spans="86:86" x14ac:dyDescent="0.25">
      <c r="CH373" s="5"/>
    </row>
    <row r="374" spans="86:86" x14ac:dyDescent="0.25">
      <c r="CH374" s="5"/>
    </row>
    <row r="375" spans="86:86" x14ac:dyDescent="0.25">
      <c r="CH375" s="5"/>
    </row>
    <row r="376" spans="86:86" x14ac:dyDescent="0.25">
      <c r="CH376" s="5"/>
    </row>
    <row r="377" spans="86:86" x14ac:dyDescent="0.25">
      <c r="CH377" s="5"/>
    </row>
    <row r="378" spans="86:86" x14ac:dyDescent="0.25">
      <c r="CH378" s="5"/>
    </row>
    <row r="379" spans="86:86" x14ac:dyDescent="0.25">
      <c r="CH379" s="5"/>
    </row>
    <row r="380" spans="86:86" x14ac:dyDescent="0.25">
      <c r="CH380" s="5"/>
    </row>
    <row r="381" spans="86:86" x14ac:dyDescent="0.25">
      <c r="CH381" s="5"/>
    </row>
    <row r="382" spans="86:86" x14ac:dyDescent="0.25">
      <c r="CH382" s="5"/>
    </row>
    <row r="383" spans="86:86" x14ac:dyDescent="0.25">
      <c r="CH383" s="5"/>
    </row>
    <row r="384" spans="86:86" x14ac:dyDescent="0.25">
      <c r="CH384" s="5"/>
    </row>
    <row r="385" spans="86:86" x14ac:dyDescent="0.25">
      <c r="CH385" s="5"/>
    </row>
    <row r="386" spans="86:86" x14ac:dyDescent="0.25">
      <c r="CH386" s="5"/>
    </row>
    <row r="387" spans="86:86" x14ac:dyDescent="0.25">
      <c r="CH387" s="5"/>
    </row>
    <row r="388" spans="86:86" x14ac:dyDescent="0.25">
      <c r="CH388" s="5"/>
    </row>
    <row r="389" spans="86:86" x14ac:dyDescent="0.25">
      <c r="CH389" s="5"/>
    </row>
    <row r="390" spans="86:86" x14ac:dyDescent="0.25">
      <c r="CH390" s="5"/>
    </row>
    <row r="391" spans="86:86" x14ac:dyDescent="0.25">
      <c r="CH391" s="5"/>
    </row>
    <row r="392" spans="86:86" x14ac:dyDescent="0.25">
      <c r="CH392" s="5"/>
    </row>
    <row r="393" spans="86:86" x14ac:dyDescent="0.25">
      <c r="CH393" s="5"/>
    </row>
    <row r="394" spans="86:86" x14ac:dyDescent="0.25">
      <c r="CH394" s="5"/>
    </row>
    <row r="395" spans="86:86" x14ac:dyDescent="0.25">
      <c r="CH395" s="5"/>
    </row>
    <row r="396" spans="86:86" x14ac:dyDescent="0.25">
      <c r="CH396" s="5"/>
    </row>
    <row r="397" spans="86:86" x14ac:dyDescent="0.25">
      <c r="CH397" s="5"/>
    </row>
    <row r="398" spans="86:86" x14ac:dyDescent="0.25">
      <c r="CH398" s="5"/>
    </row>
    <row r="399" spans="86:86" x14ac:dyDescent="0.25">
      <c r="CH399" s="5"/>
    </row>
    <row r="400" spans="86:86" x14ac:dyDescent="0.25">
      <c r="CH400" s="5"/>
    </row>
    <row r="401" spans="86:86" x14ac:dyDescent="0.25">
      <c r="CH401" s="5"/>
    </row>
    <row r="402" spans="86:86" x14ac:dyDescent="0.25">
      <c r="CH402" s="5"/>
    </row>
    <row r="403" spans="86:86" x14ac:dyDescent="0.25">
      <c r="CH403" s="5"/>
    </row>
    <row r="404" spans="86:86" x14ac:dyDescent="0.25">
      <c r="CH404" s="5"/>
    </row>
    <row r="405" spans="86:86" x14ac:dyDescent="0.25">
      <c r="CH405" s="5"/>
    </row>
    <row r="406" spans="86:86" x14ac:dyDescent="0.25">
      <c r="CH406" s="5"/>
    </row>
    <row r="407" spans="86:86" x14ac:dyDescent="0.25">
      <c r="CH407" s="5"/>
    </row>
    <row r="408" spans="86:86" x14ac:dyDescent="0.25">
      <c r="CH408" s="5"/>
    </row>
    <row r="409" spans="86:86" x14ac:dyDescent="0.25">
      <c r="CH409" s="5"/>
    </row>
    <row r="410" spans="86:86" x14ac:dyDescent="0.25">
      <c r="CH410" s="5"/>
    </row>
    <row r="411" spans="86:86" x14ac:dyDescent="0.25">
      <c r="CH411" s="5"/>
    </row>
    <row r="412" spans="86:86" x14ac:dyDescent="0.25">
      <c r="CH412" s="5"/>
    </row>
    <row r="413" spans="86:86" x14ac:dyDescent="0.25">
      <c r="CH413" s="5"/>
    </row>
    <row r="414" spans="86:86" x14ac:dyDescent="0.25">
      <c r="CH414" s="5"/>
    </row>
    <row r="415" spans="86:86" x14ac:dyDescent="0.25">
      <c r="CH415" s="5"/>
    </row>
    <row r="416" spans="86:86" x14ac:dyDescent="0.25">
      <c r="CH416" s="5"/>
    </row>
    <row r="417" spans="86:86" x14ac:dyDescent="0.25">
      <c r="CH417" s="5"/>
    </row>
    <row r="418" spans="86:86" x14ac:dyDescent="0.25">
      <c r="CH418" s="5"/>
    </row>
    <row r="419" spans="86:86" x14ac:dyDescent="0.25">
      <c r="CH419" s="5"/>
    </row>
    <row r="420" spans="86:86" x14ac:dyDescent="0.25">
      <c r="CH420" s="5"/>
    </row>
    <row r="421" spans="86:86" x14ac:dyDescent="0.25">
      <c r="CH421" s="5"/>
    </row>
    <row r="422" spans="86:86" x14ac:dyDescent="0.25">
      <c r="CH422" s="5"/>
    </row>
    <row r="423" spans="86:86" x14ac:dyDescent="0.25">
      <c r="CH423" s="5"/>
    </row>
    <row r="424" spans="86:86" x14ac:dyDescent="0.25">
      <c r="CH424" s="5"/>
    </row>
    <row r="425" spans="86:86" x14ac:dyDescent="0.25">
      <c r="CH425" s="5"/>
    </row>
    <row r="426" spans="86:86" x14ac:dyDescent="0.25">
      <c r="CH426" s="5"/>
    </row>
    <row r="427" spans="86:86" x14ac:dyDescent="0.25">
      <c r="CH427" s="5"/>
    </row>
    <row r="428" spans="86:86" x14ac:dyDescent="0.25">
      <c r="CH428" s="5"/>
    </row>
    <row r="429" spans="86:86" x14ac:dyDescent="0.25">
      <c r="CH429" s="5"/>
    </row>
    <row r="430" spans="86:86" x14ac:dyDescent="0.25">
      <c r="CH430" s="5"/>
    </row>
    <row r="431" spans="86:86" x14ac:dyDescent="0.25">
      <c r="CH431" s="5"/>
    </row>
    <row r="432" spans="86:86" x14ac:dyDescent="0.25">
      <c r="CH432" s="5"/>
    </row>
    <row r="433" spans="86:86" x14ac:dyDescent="0.25">
      <c r="CH433" s="5"/>
    </row>
    <row r="434" spans="86:86" x14ac:dyDescent="0.25">
      <c r="CH434" s="5"/>
    </row>
    <row r="435" spans="86:86" x14ac:dyDescent="0.25">
      <c r="CH435" s="5"/>
    </row>
    <row r="436" spans="86:86" x14ac:dyDescent="0.25">
      <c r="CH436" s="5"/>
    </row>
    <row r="437" spans="86:86" x14ac:dyDescent="0.25">
      <c r="CH437" s="5"/>
    </row>
    <row r="438" spans="86:86" x14ac:dyDescent="0.25">
      <c r="CH438" s="5"/>
    </row>
    <row r="439" spans="86:86" x14ac:dyDescent="0.25">
      <c r="CH439" s="5"/>
    </row>
    <row r="440" spans="86:86" x14ac:dyDescent="0.25">
      <c r="CH440" s="5"/>
    </row>
    <row r="441" spans="86:86" x14ac:dyDescent="0.25">
      <c r="CH441" s="5"/>
    </row>
    <row r="442" spans="86:86" x14ac:dyDescent="0.25">
      <c r="CH442" s="5"/>
    </row>
    <row r="443" spans="86:86" x14ac:dyDescent="0.25">
      <c r="CH443" s="5"/>
    </row>
    <row r="444" spans="86:86" x14ac:dyDescent="0.25">
      <c r="CH444" s="5"/>
    </row>
    <row r="445" spans="86:86" x14ac:dyDescent="0.25">
      <c r="CH445" s="5"/>
    </row>
    <row r="446" spans="86:86" x14ac:dyDescent="0.25">
      <c r="CH446" s="5"/>
    </row>
    <row r="447" spans="86:86" x14ac:dyDescent="0.25">
      <c r="CH447" s="5"/>
    </row>
    <row r="448" spans="86:86" x14ac:dyDescent="0.25">
      <c r="CH448" s="5"/>
    </row>
    <row r="449" spans="86:86" x14ac:dyDescent="0.25">
      <c r="CH449" s="5"/>
    </row>
    <row r="450" spans="86:86" x14ac:dyDescent="0.25">
      <c r="CH450" s="5"/>
    </row>
    <row r="451" spans="86:86" x14ac:dyDescent="0.25">
      <c r="CH451" s="5"/>
    </row>
    <row r="452" spans="86:86" x14ac:dyDescent="0.25">
      <c r="CH452" s="5"/>
    </row>
    <row r="453" spans="86:86" x14ac:dyDescent="0.25">
      <c r="CH453" s="5"/>
    </row>
    <row r="454" spans="86:86" x14ac:dyDescent="0.25">
      <c r="CH454" s="5"/>
    </row>
    <row r="455" spans="86:86" x14ac:dyDescent="0.25">
      <c r="CH455" s="5"/>
    </row>
    <row r="456" spans="86:86" x14ac:dyDescent="0.25">
      <c r="CH456" s="5"/>
    </row>
    <row r="457" spans="86:86" x14ac:dyDescent="0.25">
      <c r="CH457" s="5"/>
    </row>
    <row r="458" spans="86:86" x14ac:dyDescent="0.25">
      <c r="CH458" s="5"/>
    </row>
    <row r="459" spans="86:86" x14ac:dyDescent="0.25">
      <c r="CH459" s="5"/>
    </row>
    <row r="460" spans="86:86" x14ac:dyDescent="0.25">
      <c r="CH460" s="5"/>
    </row>
    <row r="461" spans="86:86" x14ac:dyDescent="0.25">
      <c r="CH461" s="5"/>
    </row>
    <row r="462" spans="86:86" x14ac:dyDescent="0.25">
      <c r="CH462" s="5"/>
    </row>
    <row r="463" spans="86:86" x14ac:dyDescent="0.25">
      <c r="CH463" s="5"/>
    </row>
    <row r="464" spans="86:86" x14ac:dyDescent="0.25">
      <c r="CH464" s="5"/>
    </row>
    <row r="465" spans="86:86" x14ac:dyDescent="0.25">
      <c r="CH465" s="5"/>
    </row>
    <row r="466" spans="86:86" x14ac:dyDescent="0.25">
      <c r="CH466" s="5"/>
    </row>
    <row r="467" spans="86:86" x14ac:dyDescent="0.25">
      <c r="CH467" s="5"/>
    </row>
    <row r="468" spans="86:86" x14ac:dyDescent="0.25">
      <c r="CH468" s="5"/>
    </row>
    <row r="469" spans="86:86" x14ac:dyDescent="0.25">
      <c r="CH469" s="5"/>
    </row>
    <row r="470" spans="86:86" x14ac:dyDescent="0.25">
      <c r="CH470" s="5"/>
    </row>
    <row r="471" spans="86:86" x14ac:dyDescent="0.25">
      <c r="CH471" s="5"/>
    </row>
    <row r="472" spans="86:86" x14ac:dyDescent="0.25">
      <c r="CH472" s="5"/>
    </row>
    <row r="473" spans="86:86" x14ac:dyDescent="0.25">
      <c r="CH473" s="5"/>
    </row>
    <row r="474" spans="86:86" x14ac:dyDescent="0.25">
      <c r="CH474" s="5"/>
    </row>
    <row r="475" spans="86:86" x14ac:dyDescent="0.25">
      <c r="CH475" s="5"/>
    </row>
    <row r="476" spans="86:86" x14ac:dyDescent="0.25">
      <c r="CH476" s="5"/>
    </row>
    <row r="477" spans="86:86" x14ac:dyDescent="0.25">
      <c r="CH477" s="5"/>
    </row>
    <row r="478" spans="86:86" x14ac:dyDescent="0.25">
      <c r="CH478" s="5"/>
    </row>
    <row r="479" spans="86:86" x14ac:dyDescent="0.25">
      <c r="CH479" s="5"/>
    </row>
    <row r="480" spans="86:86" x14ac:dyDescent="0.25">
      <c r="CH480" s="5"/>
    </row>
    <row r="481" spans="86:86" x14ac:dyDescent="0.25">
      <c r="CH481" s="5"/>
    </row>
    <row r="482" spans="86:86" x14ac:dyDescent="0.25">
      <c r="CH482" s="5"/>
    </row>
    <row r="483" spans="86:86" x14ac:dyDescent="0.25">
      <c r="CH483" s="5"/>
    </row>
    <row r="484" spans="86:86" x14ac:dyDescent="0.25">
      <c r="CH484" s="5"/>
    </row>
    <row r="485" spans="86:86" x14ac:dyDescent="0.25">
      <c r="CH485" s="5"/>
    </row>
    <row r="486" spans="86:86" x14ac:dyDescent="0.25">
      <c r="CH486" s="5"/>
    </row>
    <row r="487" spans="86:86" x14ac:dyDescent="0.25">
      <c r="CH487" s="5"/>
    </row>
    <row r="488" spans="86:86" x14ac:dyDescent="0.25">
      <c r="CH488" s="5"/>
    </row>
    <row r="489" spans="86:86" x14ac:dyDescent="0.25">
      <c r="CH489" s="5"/>
    </row>
    <row r="490" spans="86:86" x14ac:dyDescent="0.25">
      <c r="CH490" s="5"/>
    </row>
    <row r="491" spans="86:86" x14ac:dyDescent="0.25">
      <c r="CH491" s="5"/>
    </row>
    <row r="492" spans="86:86" x14ac:dyDescent="0.25">
      <c r="CH492" s="5"/>
    </row>
    <row r="493" spans="86:86" x14ac:dyDescent="0.25">
      <c r="CH493" s="5"/>
    </row>
    <row r="494" spans="86:86" x14ac:dyDescent="0.25">
      <c r="CH494" s="5"/>
    </row>
    <row r="495" spans="86:86" x14ac:dyDescent="0.25">
      <c r="CH495" s="5"/>
    </row>
    <row r="496" spans="86:86" x14ac:dyDescent="0.25">
      <c r="CH496" s="5"/>
    </row>
    <row r="497" spans="86:86" x14ac:dyDescent="0.25">
      <c r="CH497" s="5"/>
    </row>
    <row r="498" spans="86:86" x14ac:dyDescent="0.25">
      <c r="CH498" s="5"/>
    </row>
    <row r="499" spans="86:86" x14ac:dyDescent="0.25">
      <c r="CH499" s="5"/>
    </row>
    <row r="500" spans="86:86" x14ac:dyDescent="0.25">
      <c r="CH500" s="5"/>
    </row>
    <row r="501" spans="86:86" x14ac:dyDescent="0.25">
      <c r="CH501" s="5"/>
    </row>
    <row r="502" spans="86:86" x14ac:dyDescent="0.25">
      <c r="CH502" s="5"/>
    </row>
    <row r="503" spans="86:86" x14ac:dyDescent="0.25">
      <c r="CH503" s="5"/>
    </row>
    <row r="504" spans="86:86" x14ac:dyDescent="0.25">
      <c r="CH504" s="5"/>
    </row>
    <row r="505" spans="86:86" x14ac:dyDescent="0.25">
      <c r="CH505" s="5"/>
    </row>
    <row r="506" spans="86:86" x14ac:dyDescent="0.25">
      <c r="CH506" s="5"/>
    </row>
    <row r="507" spans="86:86" x14ac:dyDescent="0.25">
      <c r="CH507" s="5"/>
    </row>
    <row r="508" spans="86:86" x14ac:dyDescent="0.25">
      <c r="CH508" s="5"/>
    </row>
    <row r="509" spans="86:86" x14ac:dyDescent="0.25">
      <c r="CH509" s="5"/>
    </row>
    <row r="510" spans="86:86" x14ac:dyDescent="0.25">
      <c r="CH510" s="5"/>
    </row>
    <row r="511" spans="86:86" x14ac:dyDescent="0.25">
      <c r="CH511" s="5"/>
    </row>
    <row r="512" spans="86:86" x14ac:dyDescent="0.25">
      <c r="CH512" s="5"/>
    </row>
    <row r="513" spans="86:86" x14ac:dyDescent="0.25">
      <c r="CH513" s="5"/>
    </row>
    <row r="514" spans="86:86" x14ac:dyDescent="0.25">
      <c r="CH514" s="5"/>
    </row>
    <row r="515" spans="86:86" x14ac:dyDescent="0.25">
      <c r="CH515" s="5"/>
    </row>
    <row r="516" spans="86:86" x14ac:dyDescent="0.25">
      <c r="CH516" s="5"/>
    </row>
    <row r="517" spans="86:86" x14ac:dyDescent="0.25">
      <c r="CH517" s="5"/>
    </row>
    <row r="518" spans="86:86" x14ac:dyDescent="0.25">
      <c r="CH518" s="5"/>
    </row>
    <row r="519" spans="86:86" x14ac:dyDescent="0.25">
      <c r="CH519" s="5"/>
    </row>
    <row r="520" spans="86:86" x14ac:dyDescent="0.25">
      <c r="CH520" s="5"/>
    </row>
    <row r="521" spans="86:86" x14ac:dyDescent="0.25">
      <c r="CH521" s="5"/>
    </row>
    <row r="522" spans="86:86" x14ac:dyDescent="0.25">
      <c r="CH522" s="5"/>
    </row>
    <row r="523" spans="86:86" x14ac:dyDescent="0.25">
      <c r="CH523" s="5"/>
    </row>
    <row r="524" spans="86:86" x14ac:dyDescent="0.25">
      <c r="CH524" s="5"/>
    </row>
    <row r="525" spans="86:86" x14ac:dyDescent="0.25">
      <c r="CH525" s="5"/>
    </row>
    <row r="526" spans="86:86" x14ac:dyDescent="0.25">
      <c r="CH526" s="5"/>
    </row>
    <row r="527" spans="86:86" x14ac:dyDescent="0.25">
      <c r="CH527" s="5"/>
    </row>
    <row r="528" spans="86:86" x14ac:dyDescent="0.25">
      <c r="CH528" s="5"/>
    </row>
    <row r="529" spans="86:86" x14ac:dyDescent="0.25">
      <c r="CH529" s="5"/>
    </row>
    <row r="530" spans="86:86" x14ac:dyDescent="0.25">
      <c r="CH530" s="5"/>
    </row>
    <row r="531" spans="86:86" x14ac:dyDescent="0.25">
      <c r="CH531" s="5"/>
    </row>
    <row r="532" spans="86:86" x14ac:dyDescent="0.25">
      <c r="CH532" s="5"/>
    </row>
    <row r="533" spans="86:86" x14ac:dyDescent="0.25">
      <c r="CH533" s="5"/>
    </row>
    <row r="534" spans="86:86" x14ac:dyDescent="0.25">
      <c r="CH534" s="5"/>
    </row>
    <row r="535" spans="86:86" x14ac:dyDescent="0.25">
      <c r="CH535" s="5"/>
    </row>
    <row r="536" spans="86:86" x14ac:dyDescent="0.25">
      <c r="CH536" s="5"/>
    </row>
    <row r="537" spans="86:86" x14ac:dyDescent="0.25">
      <c r="CH537" s="5"/>
    </row>
    <row r="538" spans="86:86" x14ac:dyDescent="0.25">
      <c r="CH538" s="5"/>
    </row>
    <row r="539" spans="86:86" x14ac:dyDescent="0.25">
      <c r="CH539" s="5"/>
    </row>
    <row r="540" spans="86:86" x14ac:dyDescent="0.25">
      <c r="CH540" s="5"/>
    </row>
    <row r="541" spans="86:86" x14ac:dyDescent="0.25">
      <c r="CH541" s="5"/>
    </row>
    <row r="542" spans="86:86" x14ac:dyDescent="0.25">
      <c r="CH542" s="5"/>
    </row>
    <row r="543" spans="86:86" x14ac:dyDescent="0.25">
      <c r="CH543" s="5"/>
    </row>
    <row r="544" spans="86:86" x14ac:dyDescent="0.25">
      <c r="CH544" s="5"/>
    </row>
    <row r="545" spans="86:86" x14ac:dyDescent="0.25">
      <c r="CH545" s="5"/>
    </row>
    <row r="546" spans="86:86" x14ac:dyDescent="0.25">
      <c r="CH546" s="5"/>
    </row>
    <row r="547" spans="86:86" x14ac:dyDescent="0.25">
      <c r="CH547" s="5"/>
    </row>
    <row r="548" spans="86:86" x14ac:dyDescent="0.25">
      <c r="CH548" s="5"/>
    </row>
    <row r="549" spans="86:86" x14ac:dyDescent="0.25">
      <c r="CH549" s="5"/>
    </row>
    <row r="550" spans="86:86" x14ac:dyDescent="0.25">
      <c r="CH550" s="5"/>
    </row>
    <row r="551" spans="86:86" x14ac:dyDescent="0.25">
      <c r="CH551" s="5"/>
    </row>
    <row r="552" spans="86:86" x14ac:dyDescent="0.25">
      <c r="CH552" s="5"/>
    </row>
    <row r="553" spans="86:86" x14ac:dyDescent="0.25">
      <c r="CH553" s="5"/>
    </row>
    <row r="554" spans="86:86" x14ac:dyDescent="0.25">
      <c r="CH554" s="5"/>
    </row>
    <row r="555" spans="86:86" x14ac:dyDescent="0.25">
      <c r="CH555" s="5"/>
    </row>
    <row r="556" spans="86:86" x14ac:dyDescent="0.25">
      <c r="CH556" s="5"/>
    </row>
    <row r="557" spans="86:86" x14ac:dyDescent="0.25">
      <c r="CH557" s="5"/>
    </row>
    <row r="558" spans="86:86" x14ac:dyDescent="0.25">
      <c r="CH558" s="5"/>
    </row>
    <row r="559" spans="86:86" x14ac:dyDescent="0.25">
      <c r="CH559" s="5"/>
    </row>
    <row r="560" spans="86:86" x14ac:dyDescent="0.25">
      <c r="CH560" s="5"/>
    </row>
    <row r="561" spans="86:86" x14ac:dyDescent="0.25">
      <c r="CH561" s="5"/>
    </row>
    <row r="562" spans="86:86" x14ac:dyDescent="0.25">
      <c r="CH562" s="5"/>
    </row>
    <row r="563" spans="86:86" x14ac:dyDescent="0.25">
      <c r="CH563" s="5"/>
    </row>
    <row r="564" spans="86:86" x14ac:dyDescent="0.25">
      <c r="CH564" s="5"/>
    </row>
    <row r="565" spans="86:86" x14ac:dyDescent="0.25">
      <c r="CH565" s="5"/>
    </row>
    <row r="566" spans="86:86" x14ac:dyDescent="0.25">
      <c r="CH566" s="5"/>
    </row>
    <row r="567" spans="86:86" x14ac:dyDescent="0.25">
      <c r="CH567" s="5"/>
    </row>
    <row r="568" spans="86:86" x14ac:dyDescent="0.25">
      <c r="CH568" s="5"/>
    </row>
    <row r="569" spans="86:86" x14ac:dyDescent="0.25">
      <c r="CH569" s="5"/>
    </row>
    <row r="570" spans="86:86" x14ac:dyDescent="0.25">
      <c r="CH570" s="5"/>
    </row>
    <row r="571" spans="86:86" x14ac:dyDescent="0.25">
      <c r="CH571" s="5"/>
    </row>
    <row r="572" spans="86:86" x14ac:dyDescent="0.25">
      <c r="CH572" s="5"/>
    </row>
    <row r="573" spans="86:86" x14ac:dyDescent="0.25">
      <c r="CH573" s="5"/>
    </row>
    <row r="574" spans="86:86" x14ac:dyDescent="0.25">
      <c r="CH574" s="5"/>
    </row>
    <row r="575" spans="86:86" x14ac:dyDescent="0.25">
      <c r="CH575" s="5"/>
    </row>
    <row r="576" spans="86:86" x14ac:dyDescent="0.25">
      <c r="CH576" s="5"/>
    </row>
    <row r="577" spans="86:86" x14ac:dyDescent="0.25">
      <c r="CH577" s="5"/>
    </row>
    <row r="578" spans="86:86" x14ac:dyDescent="0.25">
      <c r="CH578" s="5"/>
    </row>
    <row r="579" spans="86:86" x14ac:dyDescent="0.25">
      <c r="CH579" s="5"/>
    </row>
    <row r="580" spans="86:86" x14ac:dyDescent="0.25">
      <c r="CH580" s="5"/>
    </row>
    <row r="581" spans="86:86" x14ac:dyDescent="0.25">
      <c r="CH581" s="5"/>
    </row>
    <row r="582" spans="86:86" x14ac:dyDescent="0.25">
      <c r="CH582" s="5"/>
    </row>
    <row r="583" spans="86:86" x14ac:dyDescent="0.25">
      <c r="CH583" s="5"/>
    </row>
    <row r="584" spans="86:86" x14ac:dyDescent="0.25">
      <c r="CH584" s="5"/>
    </row>
    <row r="585" spans="86:86" x14ac:dyDescent="0.25">
      <c r="CH585" s="5"/>
    </row>
    <row r="586" spans="86:86" x14ac:dyDescent="0.25">
      <c r="CH586" s="5"/>
    </row>
    <row r="587" spans="86:86" x14ac:dyDescent="0.25">
      <c r="CH587" s="5"/>
    </row>
    <row r="588" spans="86:86" x14ac:dyDescent="0.25">
      <c r="CH588" s="5"/>
    </row>
    <row r="589" spans="86:86" x14ac:dyDescent="0.25">
      <c r="CH589" s="5"/>
    </row>
    <row r="590" spans="86:86" x14ac:dyDescent="0.25">
      <c r="CH590" s="5"/>
    </row>
    <row r="591" spans="86:86" x14ac:dyDescent="0.25">
      <c r="CH591" s="5"/>
    </row>
    <row r="592" spans="86:86" x14ac:dyDescent="0.25">
      <c r="CH592" s="5"/>
    </row>
    <row r="593" spans="86:86" x14ac:dyDescent="0.25">
      <c r="CH593" s="5"/>
    </row>
    <row r="594" spans="86:86" x14ac:dyDescent="0.25">
      <c r="CH594" s="5"/>
    </row>
    <row r="595" spans="86:86" x14ac:dyDescent="0.25">
      <c r="CH595" s="5"/>
    </row>
    <row r="596" spans="86:86" x14ac:dyDescent="0.25">
      <c r="CH596" s="5"/>
    </row>
    <row r="597" spans="86:86" x14ac:dyDescent="0.25">
      <c r="CH597" s="5"/>
    </row>
    <row r="598" spans="86:86" x14ac:dyDescent="0.25">
      <c r="CH598" s="5"/>
    </row>
    <row r="599" spans="86:86" x14ac:dyDescent="0.25">
      <c r="CH599" s="5"/>
    </row>
    <row r="600" spans="86:86" x14ac:dyDescent="0.25">
      <c r="CH600" s="5"/>
    </row>
    <row r="601" spans="86:86" x14ac:dyDescent="0.25">
      <c r="CH601" s="5"/>
    </row>
    <row r="602" spans="86:86" x14ac:dyDescent="0.25">
      <c r="CH602" s="5"/>
    </row>
    <row r="603" spans="86:86" x14ac:dyDescent="0.25">
      <c r="CH603" s="5"/>
    </row>
    <row r="604" spans="86:86" x14ac:dyDescent="0.25">
      <c r="CH604" s="5"/>
    </row>
    <row r="605" spans="86:86" x14ac:dyDescent="0.25">
      <c r="CH605" s="5"/>
    </row>
    <row r="606" spans="86:86" x14ac:dyDescent="0.25">
      <c r="CH606" s="5"/>
    </row>
    <row r="607" spans="86:86" x14ac:dyDescent="0.25">
      <c r="CH607" s="5"/>
    </row>
    <row r="608" spans="86:86" x14ac:dyDescent="0.25">
      <c r="CH608" s="5"/>
    </row>
    <row r="609" spans="86:86" x14ac:dyDescent="0.25">
      <c r="CH609" s="5"/>
    </row>
    <row r="610" spans="86:86" x14ac:dyDescent="0.25">
      <c r="CH610" s="5"/>
    </row>
    <row r="611" spans="86:86" x14ac:dyDescent="0.25">
      <c r="CH611" s="5"/>
    </row>
    <row r="612" spans="86:86" x14ac:dyDescent="0.25">
      <c r="CH612" s="5"/>
    </row>
    <row r="613" spans="86:86" x14ac:dyDescent="0.25">
      <c r="CH613" s="5"/>
    </row>
    <row r="614" spans="86:86" x14ac:dyDescent="0.25">
      <c r="CH614" s="5"/>
    </row>
    <row r="615" spans="86:86" x14ac:dyDescent="0.25">
      <c r="CH615" s="5"/>
    </row>
    <row r="616" spans="86:86" x14ac:dyDescent="0.25">
      <c r="CH616" s="5"/>
    </row>
    <row r="617" spans="86:86" x14ac:dyDescent="0.25">
      <c r="CH617" s="5"/>
    </row>
    <row r="618" spans="86:86" x14ac:dyDescent="0.25">
      <c r="CH618" s="5"/>
    </row>
    <row r="619" spans="86:86" x14ac:dyDescent="0.25">
      <c r="CH619" s="5"/>
    </row>
    <row r="620" spans="86:86" x14ac:dyDescent="0.25">
      <c r="CH620" s="5"/>
    </row>
    <row r="621" spans="86:86" x14ac:dyDescent="0.25">
      <c r="CH621" s="5"/>
    </row>
    <row r="622" spans="86:86" x14ac:dyDescent="0.25">
      <c r="CH622" s="5"/>
    </row>
    <row r="623" spans="86:86" x14ac:dyDescent="0.25">
      <c r="CH623" s="5"/>
    </row>
    <row r="624" spans="86:86" x14ac:dyDescent="0.25">
      <c r="CH624" s="5"/>
    </row>
    <row r="625" spans="86:86" x14ac:dyDescent="0.25">
      <c r="CH625" s="5"/>
    </row>
    <row r="626" spans="86:86" x14ac:dyDescent="0.25">
      <c r="CH626" s="5"/>
    </row>
    <row r="627" spans="86:86" x14ac:dyDescent="0.25">
      <c r="CH627" s="5"/>
    </row>
    <row r="628" spans="86:86" x14ac:dyDescent="0.25">
      <c r="CH628" s="5"/>
    </row>
    <row r="629" spans="86:86" x14ac:dyDescent="0.25">
      <c r="CH629" s="5"/>
    </row>
    <row r="630" spans="86:86" x14ac:dyDescent="0.25">
      <c r="CH630" s="5"/>
    </row>
    <row r="631" spans="86:86" x14ac:dyDescent="0.25">
      <c r="CH631" s="5"/>
    </row>
    <row r="632" spans="86:86" x14ac:dyDescent="0.25">
      <c r="CH632" s="5"/>
    </row>
    <row r="633" spans="86:86" x14ac:dyDescent="0.25">
      <c r="CH633" s="5"/>
    </row>
    <row r="634" spans="86:86" x14ac:dyDescent="0.25">
      <c r="CH634" s="5"/>
    </row>
    <row r="635" spans="86:86" x14ac:dyDescent="0.25">
      <c r="CH635" s="5"/>
    </row>
    <row r="636" spans="86:86" x14ac:dyDescent="0.25">
      <c r="CH636" s="5"/>
    </row>
    <row r="637" spans="86:86" x14ac:dyDescent="0.25">
      <c r="CH637" s="5"/>
    </row>
    <row r="638" spans="86:86" x14ac:dyDescent="0.25">
      <c r="CH638" s="5"/>
    </row>
    <row r="639" spans="86:86" x14ac:dyDescent="0.25">
      <c r="CH639" s="5"/>
    </row>
    <row r="640" spans="86:86" x14ac:dyDescent="0.25">
      <c r="CH640" s="5"/>
    </row>
    <row r="641" spans="86:86" x14ac:dyDescent="0.25">
      <c r="CH641" s="5"/>
    </row>
    <row r="642" spans="86:86" x14ac:dyDescent="0.25">
      <c r="CH642" s="5"/>
    </row>
    <row r="643" spans="86:86" x14ac:dyDescent="0.25">
      <c r="CH643" s="5"/>
    </row>
    <row r="644" spans="86:86" x14ac:dyDescent="0.25">
      <c r="CH644" s="5"/>
    </row>
    <row r="645" spans="86:86" x14ac:dyDescent="0.25">
      <c r="CH645" s="5"/>
    </row>
    <row r="646" spans="86:86" x14ac:dyDescent="0.25">
      <c r="CH646" s="5"/>
    </row>
    <row r="647" spans="86:86" x14ac:dyDescent="0.25">
      <c r="CH647" s="5"/>
    </row>
    <row r="648" spans="86:86" x14ac:dyDescent="0.25">
      <c r="CH648" s="5"/>
    </row>
    <row r="649" spans="86:86" x14ac:dyDescent="0.25">
      <c r="CH649" s="5"/>
    </row>
    <row r="650" spans="86:86" x14ac:dyDescent="0.25">
      <c r="CH650" s="5"/>
    </row>
    <row r="651" spans="86:86" x14ac:dyDescent="0.25">
      <c r="CH651" s="5"/>
    </row>
    <row r="652" spans="86:86" x14ac:dyDescent="0.25">
      <c r="CH652" s="5"/>
    </row>
    <row r="653" spans="86:86" x14ac:dyDescent="0.25">
      <c r="CH653" s="5"/>
    </row>
    <row r="654" spans="86:86" x14ac:dyDescent="0.25">
      <c r="CH654" s="5"/>
    </row>
    <row r="655" spans="86:86" x14ac:dyDescent="0.25">
      <c r="CH655" s="5"/>
    </row>
    <row r="656" spans="86:86" x14ac:dyDescent="0.25">
      <c r="CH656" s="5"/>
    </row>
    <row r="657" spans="86:86" x14ac:dyDescent="0.25">
      <c r="CH657" s="5"/>
    </row>
    <row r="658" spans="86:86" x14ac:dyDescent="0.25">
      <c r="CH658" s="5"/>
    </row>
    <row r="659" spans="86:86" x14ac:dyDescent="0.25">
      <c r="CH659" s="5"/>
    </row>
    <row r="660" spans="86:86" x14ac:dyDescent="0.25">
      <c r="CH660" s="5"/>
    </row>
    <row r="661" spans="86:86" x14ac:dyDescent="0.25">
      <c r="CH661" s="5"/>
    </row>
    <row r="662" spans="86:86" x14ac:dyDescent="0.25">
      <c r="CH662" s="5"/>
    </row>
    <row r="663" spans="86:86" x14ac:dyDescent="0.25">
      <c r="CH663" s="5"/>
    </row>
    <row r="664" spans="86:86" x14ac:dyDescent="0.25">
      <c r="CH664" s="5"/>
    </row>
    <row r="665" spans="86:86" x14ac:dyDescent="0.25">
      <c r="CH665" s="5"/>
    </row>
    <row r="666" spans="86:86" x14ac:dyDescent="0.25">
      <c r="CH666" s="5"/>
    </row>
    <row r="667" spans="86:86" x14ac:dyDescent="0.25">
      <c r="CH667" s="5"/>
    </row>
    <row r="668" spans="86:86" x14ac:dyDescent="0.25">
      <c r="CH668" s="5"/>
    </row>
    <row r="669" spans="86:86" x14ac:dyDescent="0.25">
      <c r="CH669" s="5"/>
    </row>
    <row r="670" spans="86:86" x14ac:dyDescent="0.25">
      <c r="CH670" s="5"/>
    </row>
    <row r="671" spans="86:86" x14ac:dyDescent="0.25">
      <c r="CH671" s="5"/>
    </row>
    <row r="672" spans="86:86" x14ac:dyDescent="0.25">
      <c r="CH672" s="5"/>
    </row>
    <row r="673" spans="86:86" x14ac:dyDescent="0.25">
      <c r="CH673" s="5"/>
    </row>
    <row r="674" spans="86:86" x14ac:dyDescent="0.25">
      <c r="CH674" s="5"/>
    </row>
    <row r="675" spans="86:86" x14ac:dyDescent="0.25">
      <c r="CH675" s="5"/>
    </row>
    <row r="676" spans="86:86" x14ac:dyDescent="0.25">
      <c r="CH676" s="5"/>
    </row>
    <row r="677" spans="86:86" x14ac:dyDescent="0.25">
      <c r="CH677" s="5"/>
    </row>
    <row r="678" spans="86:86" x14ac:dyDescent="0.25">
      <c r="CH678" s="5"/>
    </row>
    <row r="679" spans="86:86" x14ac:dyDescent="0.25">
      <c r="CH679" s="5"/>
    </row>
    <row r="680" spans="86:86" x14ac:dyDescent="0.25">
      <c r="CH680" s="5"/>
    </row>
    <row r="681" spans="86:86" x14ac:dyDescent="0.25">
      <c r="CH681" s="5"/>
    </row>
    <row r="682" spans="86:86" x14ac:dyDescent="0.25">
      <c r="CH682" s="5"/>
    </row>
    <row r="683" spans="86:86" x14ac:dyDescent="0.25">
      <c r="CH683" s="5"/>
    </row>
    <row r="684" spans="86:86" x14ac:dyDescent="0.25">
      <c r="CH684" s="5"/>
    </row>
    <row r="685" spans="86:86" x14ac:dyDescent="0.25">
      <c r="CH685" s="5"/>
    </row>
    <row r="686" spans="86:86" x14ac:dyDescent="0.25">
      <c r="CH686" s="5"/>
    </row>
    <row r="687" spans="86:86" x14ac:dyDescent="0.25">
      <c r="CH687" s="5"/>
    </row>
    <row r="688" spans="86:86" x14ac:dyDescent="0.25">
      <c r="CH688" s="5"/>
    </row>
    <row r="689" spans="86:86" x14ac:dyDescent="0.25">
      <c r="CH689" s="5"/>
    </row>
    <row r="690" spans="86:86" x14ac:dyDescent="0.25">
      <c r="CH690" s="5"/>
    </row>
    <row r="691" spans="86:86" x14ac:dyDescent="0.25">
      <c r="CH691" s="5"/>
    </row>
    <row r="692" spans="86:86" x14ac:dyDescent="0.25">
      <c r="CH692" s="5"/>
    </row>
    <row r="693" spans="86:86" x14ac:dyDescent="0.25">
      <c r="CH693" s="5"/>
    </row>
    <row r="694" spans="86:86" x14ac:dyDescent="0.25">
      <c r="CH694" s="5"/>
    </row>
    <row r="695" spans="86:86" x14ac:dyDescent="0.25">
      <c r="CH695" s="5"/>
    </row>
    <row r="696" spans="86:86" x14ac:dyDescent="0.25">
      <c r="CH696" s="5"/>
    </row>
    <row r="697" spans="86:86" x14ac:dyDescent="0.25">
      <c r="CH697" s="5"/>
    </row>
    <row r="698" spans="86:86" x14ac:dyDescent="0.25">
      <c r="CH698" s="5"/>
    </row>
    <row r="699" spans="86:86" x14ac:dyDescent="0.25">
      <c r="CH699" s="5"/>
    </row>
    <row r="700" spans="86:86" x14ac:dyDescent="0.25">
      <c r="CH700" s="5"/>
    </row>
    <row r="701" spans="86:86" x14ac:dyDescent="0.25">
      <c r="CH701" s="5"/>
    </row>
    <row r="702" spans="86:86" x14ac:dyDescent="0.25">
      <c r="CH702" s="5"/>
    </row>
    <row r="703" spans="86:86" x14ac:dyDescent="0.25">
      <c r="CH703" s="5"/>
    </row>
    <row r="704" spans="86:86" x14ac:dyDescent="0.25">
      <c r="CH704" s="5"/>
    </row>
    <row r="705" spans="86:86" x14ac:dyDescent="0.25">
      <c r="CH705" s="5"/>
    </row>
    <row r="706" spans="86:86" x14ac:dyDescent="0.25">
      <c r="CH706" s="5"/>
    </row>
    <row r="707" spans="86:86" x14ac:dyDescent="0.25">
      <c r="CH707" s="5"/>
    </row>
    <row r="708" spans="86:86" x14ac:dyDescent="0.25">
      <c r="CH708" s="5"/>
    </row>
    <row r="709" spans="86:86" x14ac:dyDescent="0.25">
      <c r="CH709" s="5"/>
    </row>
    <row r="710" spans="86:86" x14ac:dyDescent="0.25">
      <c r="CH710" s="5"/>
    </row>
    <row r="711" spans="86:86" x14ac:dyDescent="0.25">
      <c r="CH711" s="5"/>
    </row>
    <row r="712" spans="86:86" x14ac:dyDescent="0.25">
      <c r="CH712" s="5"/>
    </row>
    <row r="713" spans="86:86" x14ac:dyDescent="0.25">
      <c r="CH713" s="5"/>
    </row>
    <row r="714" spans="86:86" x14ac:dyDescent="0.25">
      <c r="CH714" s="5"/>
    </row>
    <row r="715" spans="86:86" x14ac:dyDescent="0.25">
      <c r="CH715" s="5"/>
    </row>
    <row r="716" spans="86:86" x14ac:dyDescent="0.25">
      <c r="CH716" s="5"/>
    </row>
    <row r="717" spans="86:86" x14ac:dyDescent="0.25">
      <c r="CH717" s="5"/>
    </row>
    <row r="718" spans="86:86" x14ac:dyDescent="0.25">
      <c r="CH718" s="5"/>
    </row>
    <row r="719" spans="86:86" x14ac:dyDescent="0.25">
      <c r="CH719" s="5"/>
    </row>
    <row r="720" spans="86:86" x14ac:dyDescent="0.25">
      <c r="CH720" s="5"/>
    </row>
    <row r="721" spans="86:86" x14ac:dyDescent="0.25">
      <c r="CH721" s="5"/>
    </row>
    <row r="722" spans="86:86" x14ac:dyDescent="0.25">
      <c r="CH722" s="5"/>
    </row>
    <row r="723" spans="86:86" x14ac:dyDescent="0.25">
      <c r="CH723" s="5"/>
    </row>
    <row r="724" spans="86:86" x14ac:dyDescent="0.25">
      <c r="CH724" s="5"/>
    </row>
    <row r="725" spans="86:86" x14ac:dyDescent="0.25">
      <c r="CH725" s="5"/>
    </row>
    <row r="726" spans="86:86" x14ac:dyDescent="0.25">
      <c r="CH726" s="5"/>
    </row>
    <row r="727" spans="86:86" x14ac:dyDescent="0.25">
      <c r="CH727" s="5"/>
    </row>
    <row r="728" spans="86:86" x14ac:dyDescent="0.25">
      <c r="CH728" s="5"/>
    </row>
    <row r="729" spans="86:86" x14ac:dyDescent="0.25">
      <c r="CH729" s="5"/>
    </row>
    <row r="730" spans="86:86" x14ac:dyDescent="0.25">
      <c r="CH730" s="5"/>
    </row>
    <row r="731" spans="86:86" x14ac:dyDescent="0.25">
      <c r="CH731" s="5"/>
    </row>
    <row r="732" spans="86:86" x14ac:dyDescent="0.25">
      <c r="CH732" s="5"/>
    </row>
    <row r="733" spans="86:86" x14ac:dyDescent="0.25">
      <c r="CH733" s="5"/>
    </row>
    <row r="734" spans="86:86" x14ac:dyDescent="0.25">
      <c r="CH734" s="5"/>
    </row>
    <row r="735" spans="86:86" x14ac:dyDescent="0.25">
      <c r="CH735" s="5"/>
    </row>
    <row r="736" spans="86:86" x14ac:dyDescent="0.25">
      <c r="CH736" s="5"/>
    </row>
    <row r="737" spans="86:86" x14ac:dyDescent="0.25">
      <c r="CH737" s="5"/>
    </row>
    <row r="738" spans="86:86" x14ac:dyDescent="0.25">
      <c r="CH738" s="5"/>
    </row>
    <row r="739" spans="86:86" x14ac:dyDescent="0.25">
      <c r="CH739" s="5"/>
    </row>
    <row r="740" spans="86:86" x14ac:dyDescent="0.25">
      <c r="CH740" s="5"/>
    </row>
    <row r="741" spans="86:86" x14ac:dyDescent="0.25">
      <c r="CH741" s="5"/>
    </row>
    <row r="742" spans="86:86" x14ac:dyDescent="0.25">
      <c r="CH742" s="5"/>
    </row>
    <row r="743" spans="86:86" x14ac:dyDescent="0.25">
      <c r="CH743" s="5"/>
    </row>
    <row r="744" spans="86:86" x14ac:dyDescent="0.25">
      <c r="CH744" s="5"/>
    </row>
    <row r="745" spans="86:86" x14ac:dyDescent="0.25">
      <c r="CH745" s="5"/>
    </row>
    <row r="746" spans="86:86" x14ac:dyDescent="0.25">
      <c r="CH746" s="5"/>
    </row>
    <row r="747" spans="86:86" x14ac:dyDescent="0.25">
      <c r="CH747" s="5"/>
    </row>
    <row r="748" spans="86:86" x14ac:dyDescent="0.25">
      <c r="CH748" s="5"/>
    </row>
    <row r="749" spans="86:86" x14ac:dyDescent="0.25">
      <c r="CH749" s="5"/>
    </row>
    <row r="750" spans="86:86" x14ac:dyDescent="0.25">
      <c r="CH750" s="5"/>
    </row>
    <row r="751" spans="86:86" x14ac:dyDescent="0.25">
      <c r="CH751" s="5"/>
    </row>
    <row r="752" spans="86:86" x14ac:dyDescent="0.25">
      <c r="CH752" s="5"/>
    </row>
    <row r="753" spans="86:86" x14ac:dyDescent="0.25">
      <c r="CH753" s="5"/>
    </row>
    <row r="754" spans="86:86" x14ac:dyDescent="0.25">
      <c r="CH754" s="5"/>
    </row>
    <row r="755" spans="86:86" x14ac:dyDescent="0.25">
      <c r="CH755" s="5"/>
    </row>
    <row r="756" spans="86:86" x14ac:dyDescent="0.25">
      <c r="CH756" s="5"/>
    </row>
    <row r="757" spans="86:86" x14ac:dyDescent="0.25">
      <c r="CH757" s="5"/>
    </row>
    <row r="758" spans="86:86" x14ac:dyDescent="0.25">
      <c r="CH758" s="5"/>
    </row>
    <row r="759" spans="86:86" x14ac:dyDescent="0.25">
      <c r="CH759" s="5"/>
    </row>
    <row r="760" spans="86:86" x14ac:dyDescent="0.25">
      <c r="CH760" s="5"/>
    </row>
    <row r="761" spans="86:86" x14ac:dyDescent="0.25">
      <c r="CH761" s="5"/>
    </row>
    <row r="762" spans="86:86" x14ac:dyDescent="0.25">
      <c r="CH762" s="5"/>
    </row>
    <row r="763" spans="86:86" x14ac:dyDescent="0.25">
      <c r="CH763" s="5"/>
    </row>
    <row r="764" spans="86:86" x14ac:dyDescent="0.25">
      <c r="CH764" s="5"/>
    </row>
    <row r="765" spans="86:86" x14ac:dyDescent="0.25">
      <c r="CH765" s="5"/>
    </row>
    <row r="766" spans="86:86" x14ac:dyDescent="0.25">
      <c r="CH766" s="5"/>
    </row>
    <row r="767" spans="86:86" x14ac:dyDescent="0.25">
      <c r="CH767" s="5"/>
    </row>
    <row r="768" spans="86:86" x14ac:dyDescent="0.25">
      <c r="CH768" s="5"/>
    </row>
    <row r="769" spans="86:86" x14ac:dyDescent="0.25">
      <c r="CH769" s="5"/>
    </row>
    <row r="770" spans="86:86" x14ac:dyDescent="0.25">
      <c r="CH770" s="5"/>
    </row>
    <row r="771" spans="86:86" x14ac:dyDescent="0.25">
      <c r="CH771" s="5"/>
    </row>
    <row r="772" spans="86:86" x14ac:dyDescent="0.25">
      <c r="CH772" s="5"/>
    </row>
    <row r="773" spans="86:86" x14ac:dyDescent="0.25">
      <c r="CH773" s="5"/>
    </row>
    <row r="774" spans="86:86" x14ac:dyDescent="0.25">
      <c r="CH774" s="5"/>
    </row>
    <row r="775" spans="86:86" x14ac:dyDescent="0.25">
      <c r="CH775" s="5"/>
    </row>
    <row r="776" spans="86:86" x14ac:dyDescent="0.25">
      <c r="CH776" s="5"/>
    </row>
    <row r="777" spans="86:86" x14ac:dyDescent="0.25">
      <c r="CH777" s="5"/>
    </row>
    <row r="778" spans="86:86" x14ac:dyDescent="0.25">
      <c r="CH778" s="5"/>
    </row>
    <row r="779" spans="86:86" x14ac:dyDescent="0.25">
      <c r="CH779" s="5"/>
    </row>
    <row r="780" spans="86:86" x14ac:dyDescent="0.25">
      <c r="CH780" s="5"/>
    </row>
    <row r="781" spans="86:86" x14ac:dyDescent="0.25">
      <c r="CH781" s="5"/>
    </row>
    <row r="782" spans="86:86" x14ac:dyDescent="0.25">
      <c r="CH782" s="5"/>
    </row>
    <row r="783" spans="86:86" x14ac:dyDescent="0.25">
      <c r="CH783" s="5"/>
    </row>
    <row r="784" spans="86:86" x14ac:dyDescent="0.25">
      <c r="CH784" s="5"/>
    </row>
    <row r="785" spans="86:86" x14ac:dyDescent="0.25">
      <c r="CH785" s="5"/>
    </row>
    <row r="786" spans="86:86" x14ac:dyDescent="0.25">
      <c r="CH786" s="5"/>
    </row>
    <row r="787" spans="86:86" x14ac:dyDescent="0.25">
      <c r="CH787" s="5"/>
    </row>
    <row r="788" spans="86:86" x14ac:dyDescent="0.25">
      <c r="CH788" s="5"/>
    </row>
    <row r="789" spans="86:86" x14ac:dyDescent="0.25">
      <c r="CH789" s="5"/>
    </row>
    <row r="790" spans="86:86" x14ac:dyDescent="0.25">
      <c r="CH790" s="5"/>
    </row>
    <row r="791" spans="86:86" x14ac:dyDescent="0.25">
      <c r="CH791" s="5"/>
    </row>
    <row r="792" spans="86:86" x14ac:dyDescent="0.25">
      <c r="CH792" s="5"/>
    </row>
    <row r="793" spans="86:86" x14ac:dyDescent="0.25">
      <c r="CH793" s="5"/>
    </row>
    <row r="794" spans="86:86" x14ac:dyDescent="0.25">
      <c r="CH794" s="5"/>
    </row>
    <row r="795" spans="86:86" x14ac:dyDescent="0.25">
      <c r="CH795" s="5"/>
    </row>
    <row r="796" spans="86:86" x14ac:dyDescent="0.25">
      <c r="CH796" s="5"/>
    </row>
    <row r="797" spans="86:86" x14ac:dyDescent="0.25">
      <c r="CH797" s="5"/>
    </row>
    <row r="798" spans="86:86" x14ac:dyDescent="0.25">
      <c r="CH798" s="5"/>
    </row>
    <row r="799" spans="86:86" x14ac:dyDescent="0.25">
      <c r="CH799" s="5"/>
    </row>
    <row r="800" spans="86:86" x14ac:dyDescent="0.25">
      <c r="CH800" s="5"/>
    </row>
    <row r="801" spans="86:86" x14ac:dyDescent="0.25">
      <c r="CH801" s="5"/>
    </row>
    <row r="802" spans="86:86" x14ac:dyDescent="0.25">
      <c r="CH802" s="5"/>
    </row>
    <row r="803" spans="86:86" x14ac:dyDescent="0.25">
      <c r="CH803" s="5"/>
    </row>
    <row r="804" spans="86:86" x14ac:dyDescent="0.25">
      <c r="CH804" s="5"/>
    </row>
    <row r="805" spans="86:86" x14ac:dyDescent="0.25">
      <c r="CH805" s="5"/>
    </row>
    <row r="806" spans="86:86" x14ac:dyDescent="0.25">
      <c r="CH806" s="5"/>
    </row>
    <row r="807" spans="86:86" x14ac:dyDescent="0.25">
      <c r="CH807" s="5"/>
    </row>
    <row r="808" spans="86:86" x14ac:dyDescent="0.25">
      <c r="CH808" s="5"/>
    </row>
    <row r="809" spans="86:86" x14ac:dyDescent="0.25">
      <c r="CH809" s="5"/>
    </row>
    <row r="810" spans="86:86" x14ac:dyDescent="0.25">
      <c r="CH810" s="5"/>
    </row>
    <row r="811" spans="86:86" x14ac:dyDescent="0.25">
      <c r="CH811" s="5"/>
    </row>
    <row r="812" spans="86:86" x14ac:dyDescent="0.25">
      <c r="CH812" s="5"/>
    </row>
    <row r="813" spans="86:86" x14ac:dyDescent="0.25">
      <c r="CH813" s="5"/>
    </row>
    <row r="814" spans="86:86" x14ac:dyDescent="0.25">
      <c r="CH814" s="5"/>
    </row>
    <row r="815" spans="86:86" x14ac:dyDescent="0.25">
      <c r="CH815" s="5"/>
    </row>
    <row r="816" spans="86:86" x14ac:dyDescent="0.25">
      <c r="CH816" s="5"/>
    </row>
    <row r="817" spans="86:86" x14ac:dyDescent="0.25">
      <c r="CH817" s="5"/>
    </row>
    <row r="818" spans="86:86" x14ac:dyDescent="0.25">
      <c r="CH818" s="5"/>
    </row>
    <row r="819" spans="86:86" x14ac:dyDescent="0.25">
      <c r="CH819" s="5"/>
    </row>
    <row r="820" spans="86:86" x14ac:dyDescent="0.25">
      <c r="CH820" s="5"/>
    </row>
    <row r="821" spans="86:86" x14ac:dyDescent="0.25">
      <c r="CH821" s="5"/>
    </row>
    <row r="822" spans="86:86" x14ac:dyDescent="0.25">
      <c r="CH822" s="5"/>
    </row>
    <row r="823" spans="86:86" x14ac:dyDescent="0.25">
      <c r="CH823" s="5"/>
    </row>
    <row r="824" spans="86:86" x14ac:dyDescent="0.25">
      <c r="CH824" s="5"/>
    </row>
    <row r="825" spans="86:86" x14ac:dyDescent="0.25">
      <c r="CH825" s="5"/>
    </row>
    <row r="826" spans="86:86" x14ac:dyDescent="0.25">
      <c r="CH826" s="5"/>
    </row>
    <row r="827" spans="86:86" x14ac:dyDescent="0.25">
      <c r="CH827" s="5"/>
    </row>
    <row r="828" spans="86:86" x14ac:dyDescent="0.25">
      <c r="CH828" s="5"/>
    </row>
    <row r="829" spans="86:86" x14ac:dyDescent="0.25">
      <c r="CH829" s="5"/>
    </row>
    <row r="830" spans="86:86" x14ac:dyDescent="0.25">
      <c r="CH830" s="5"/>
    </row>
    <row r="831" spans="86:86" x14ac:dyDescent="0.25">
      <c r="CH831" s="5"/>
    </row>
    <row r="832" spans="86:86" x14ac:dyDescent="0.25">
      <c r="CH832" s="5"/>
    </row>
    <row r="833" spans="86:86" x14ac:dyDescent="0.25">
      <c r="CH833" s="5"/>
    </row>
    <row r="834" spans="86:86" x14ac:dyDescent="0.25">
      <c r="CH834" s="5"/>
    </row>
    <row r="835" spans="86:86" x14ac:dyDescent="0.25">
      <c r="CH835" s="5"/>
    </row>
    <row r="836" spans="86:86" x14ac:dyDescent="0.25">
      <c r="CH836" s="5"/>
    </row>
    <row r="837" spans="86:86" x14ac:dyDescent="0.25">
      <c r="CH837" s="5"/>
    </row>
    <row r="838" spans="86:86" x14ac:dyDescent="0.25">
      <c r="CH838" s="5"/>
    </row>
    <row r="839" spans="86:86" x14ac:dyDescent="0.25">
      <c r="CH839" s="5"/>
    </row>
    <row r="840" spans="86:86" x14ac:dyDescent="0.25">
      <c r="CH840" s="5"/>
    </row>
    <row r="841" spans="86:86" x14ac:dyDescent="0.25">
      <c r="CH841" s="5"/>
    </row>
    <row r="842" spans="86:86" x14ac:dyDescent="0.25">
      <c r="CH842" s="5"/>
    </row>
    <row r="843" spans="86:86" x14ac:dyDescent="0.25">
      <c r="CH843" s="5"/>
    </row>
    <row r="844" spans="86:86" x14ac:dyDescent="0.25">
      <c r="CH844" s="5"/>
    </row>
    <row r="845" spans="86:86" x14ac:dyDescent="0.25">
      <c r="CH845" s="5"/>
    </row>
    <row r="846" spans="86:86" x14ac:dyDescent="0.25">
      <c r="CH846" s="5"/>
    </row>
    <row r="847" spans="86:86" x14ac:dyDescent="0.25">
      <c r="CH847" s="5"/>
    </row>
    <row r="848" spans="86:86" x14ac:dyDescent="0.25">
      <c r="CH848" s="5"/>
    </row>
    <row r="849" spans="86:86" x14ac:dyDescent="0.25">
      <c r="CH849" s="5"/>
    </row>
    <row r="850" spans="86:86" x14ac:dyDescent="0.25">
      <c r="CH850" s="5"/>
    </row>
    <row r="851" spans="86:86" x14ac:dyDescent="0.25">
      <c r="CH851" s="5"/>
    </row>
    <row r="852" spans="86:86" x14ac:dyDescent="0.25">
      <c r="CH852" s="5"/>
    </row>
    <row r="853" spans="86:86" x14ac:dyDescent="0.25">
      <c r="CH853" s="5"/>
    </row>
    <row r="854" spans="86:86" x14ac:dyDescent="0.25">
      <c r="CH854" s="5"/>
    </row>
    <row r="855" spans="86:86" x14ac:dyDescent="0.25">
      <c r="CH855" s="5"/>
    </row>
    <row r="856" spans="86:86" x14ac:dyDescent="0.25">
      <c r="CH856" s="5"/>
    </row>
    <row r="857" spans="86:86" x14ac:dyDescent="0.25">
      <c r="CH857" s="5"/>
    </row>
    <row r="858" spans="86:86" x14ac:dyDescent="0.25">
      <c r="CH858" s="5"/>
    </row>
    <row r="859" spans="86:86" x14ac:dyDescent="0.25">
      <c r="CH859" s="5"/>
    </row>
    <row r="860" spans="86:86" x14ac:dyDescent="0.25">
      <c r="CH860" s="5"/>
    </row>
    <row r="861" spans="86:86" x14ac:dyDescent="0.25">
      <c r="CH861" s="5"/>
    </row>
    <row r="862" spans="86:86" x14ac:dyDescent="0.25">
      <c r="CH862" s="5"/>
    </row>
    <row r="863" spans="86:86" x14ac:dyDescent="0.25">
      <c r="CH863" s="5"/>
    </row>
    <row r="864" spans="86:86" x14ac:dyDescent="0.25">
      <c r="CH864" s="5"/>
    </row>
    <row r="865" spans="86:86" x14ac:dyDescent="0.25">
      <c r="CH865" s="5"/>
    </row>
    <row r="866" spans="86:86" x14ac:dyDescent="0.25">
      <c r="CH866" s="5"/>
    </row>
    <row r="867" spans="86:86" x14ac:dyDescent="0.25">
      <c r="CH867" s="5"/>
    </row>
    <row r="868" spans="86:86" x14ac:dyDescent="0.25">
      <c r="CH868" s="5"/>
    </row>
    <row r="869" spans="86:86" x14ac:dyDescent="0.25">
      <c r="CH869" s="5"/>
    </row>
    <row r="870" spans="86:86" x14ac:dyDescent="0.25">
      <c r="CH870" s="5"/>
    </row>
    <row r="871" spans="86:86" x14ac:dyDescent="0.25">
      <c r="CH871" s="5"/>
    </row>
    <row r="872" spans="86:86" x14ac:dyDescent="0.25">
      <c r="CH872" s="5"/>
    </row>
    <row r="873" spans="86:86" x14ac:dyDescent="0.25">
      <c r="CH873" s="5"/>
    </row>
    <row r="874" spans="86:86" x14ac:dyDescent="0.25">
      <c r="CH874" s="5"/>
    </row>
    <row r="875" spans="86:86" x14ac:dyDescent="0.25">
      <c r="CH875" s="5"/>
    </row>
    <row r="876" spans="86:86" x14ac:dyDescent="0.25">
      <c r="CH876" s="5"/>
    </row>
    <row r="877" spans="86:86" x14ac:dyDescent="0.25">
      <c r="CH877" s="5"/>
    </row>
    <row r="878" spans="86:86" x14ac:dyDescent="0.25">
      <c r="CH878" s="5"/>
    </row>
    <row r="879" spans="86:86" x14ac:dyDescent="0.25">
      <c r="CH879" s="5"/>
    </row>
    <row r="880" spans="86:86" x14ac:dyDescent="0.25">
      <c r="CH880" s="5"/>
    </row>
    <row r="881" spans="86:86" x14ac:dyDescent="0.25">
      <c r="CH881" s="5"/>
    </row>
    <row r="882" spans="86:86" x14ac:dyDescent="0.25">
      <c r="CH882" s="5"/>
    </row>
    <row r="883" spans="86:86" x14ac:dyDescent="0.25">
      <c r="CH883" s="5"/>
    </row>
    <row r="884" spans="86:86" x14ac:dyDescent="0.25">
      <c r="CH884" s="5"/>
    </row>
    <row r="885" spans="86:86" x14ac:dyDescent="0.25">
      <c r="CH885" s="5"/>
    </row>
    <row r="886" spans="86:86" x14ac:dyDescent="0.25">
      <c r="CH886" s="5"/>
    </row>
    <row r="887" spans="86:86" x14ac:dyDescent="0.25">
      <c r="CH887" s="5"/>
    </row>
    <row r="888" spans="86:86" x14ac:dyDescent="0.25">
      <c r="CH888" s="5"/>
    </row>
    <row r="889" spans="86:86" x14ac:dyDescent="0.25">
      <c r="CH889" s="5"/>
    </row>
    <row r="890" spans="86:86" x14ac:dyDescent="0.25">
      <c r="CH890" s="5"/>
    </row>
    <row r="891" spans="86:86" x14ac:dyDescent="0.25">
      <c r="CH891" s="5"/>
    </row>
    <row r="892" spans="86:86" x14ac:dyDescent="0.25">
      <c r="CH892" s="5"/>
    </row>
    <row r="893" spans="86:86" x14ac:dyDescent="0.25">
      <c r="CH893" s="5"/>
    </row>
    <row r="894" spans="86:86" x14ac:dyDescent="0.25">
      <c r="CH894" s="5"/>
    </row>
    <row r="895" spans="86:86" x14ac:dyDescent="0.25">
      <c r="CH895" s="5"/>
    </row>
    <row r="896" spans="86:86" x14ac:dyDescent="0.25">
      <c r="CH896" s="5"/>
    </row>
    <row r="897" spans="86:86" x14ac:dyDescent="0.25">
      <c r="CH897" s="5"/>
    </row>
    <row r="898" spans="86:86" x14ac:dyDescent="0.25">
      <c r="CH898" s="5"/>
    </row>
    <row r="899" spans="86:86" x14ac:dyDescent="0.25">
      <c r="CH899" s="5"/>
    </row>
    <row r="900" spans="86:86" x14ac:dyDescent="0.25">
      <c r="CH900" s="5"/>
    </row>
    <row r="901" spans="86:86" x14ac:dyDescent="0.25">
      <c r="CH901" s="5"/>
    </row>
    <row r="902" spans="86:86" x14ac:dyDescent="0.25">
      <c r="CH902" s="5"/>
    </row>
    <row r="903" spans="86:86" x14ac:dyDescent="0.25">
      <c r="CH903" s="5"/>
    </row>
    <row r="904" spans="86:86" x14ac:dyDescent="0.25">
      <c r="CH904" s="5"/>
    </row>
    <row r="905" spans="86:86" x14ac:dyDescent="0.25">
      <c r="CH905" s="5"/>
    </row>
    <row r="906" spans="86:86" x14ac:dyDescent="0.25">
      <c r="CH906" s="5"/>
    </row>
    <row r="907" spans="86:86" x14ac:dyDescent="0.25">
      <c r="CH907" s="5"/>
    </row>
    <row r="908" spans="86:86" x14ac:dyDescent="0.25">
      <c r="CH908" s="5"/>
    </row>
    <row r="909" spans="86:86" x14ac:dyDescent="0.25">
      <c r="CH909" s="5"/>
    </row>
    <row r="910" spans="86:86" x14ac:dyDescent="0.25">
      <c r="CH910" s="5"/>
    </row>
    <row r="911" spans="86:86" x14ac:dyDescent="0.25">
      <c r="CH911" s="5"/>
    </row>
    <row r="912" spans="86:86" x14ac:dyDescent="0.25">
      <c r="CH912" s="5"/>
    </row>
    <row r="913" spans="86:86" x14ac:dyDescent="0.25">
      <c r="CH913" s="5"/>
    </row>
    <row r="914" spans="86:86" x14ac:dyDescent="0.25">
      <c r="CH914" s="5"/>
    </row>
    <row r="915" spans="86:86" x14ac:dyDescent="0.25">
      <c r="CH915" s="5"/>
    </row>
    <row r="916" spans="86:86" x14ac:dyDescent="0.25">
      <c r="CH916" s="5"/>
    </row>
    <row r="917" spans="86:86" x14ac:dyDescent="0.25">
      <c r="CH917" s="5"/>
    </row>
    <row r="918" spans="86:86" x14ac:dyDescent="0.25">
      <c r="CH918" s="5"/>
    </row>
    <row r="919" spans="86:86" x14ac:dyDescent="0.25">
      <c r="CH919" s="5"/>
    </row>
    <row r="920" spans="86:86" x14ac:dyDescent="0.25">
      <c r="CH920" s="5"/>
    </row>
    <row r="921" spans="86:86" x14ac:dyDescent="0.25">
      <c r="CH921" s="5"/>
    </row>
    <row r="922" spans="86:86" x14ac:dyDescent="0.25">
      <c r="CH922" s="5"/>
    </row>
    <row r="923" spans="86:86" x14ac:dyDescent="0.25">
      <c r="CH923" s="5"/>
    </row>
    <row r="924" spans="86:86" x14ac:dyDescent="0.25">
      <c r="CH924" s="5"/>
    </row>
    <row r="925" spans="86:86" x14ac:dyDescent="0.25">
      <c r="CH925" s="5"/>
    </row>
    <row r="926" spans="86:86" x14ac:dyDescent="0.25">
      <c r="CH926" s="5"/>
    </row>
    <row r="927" spans="86:86" x14ac:dyDescent="0.25">
      <c r="CH927" s="5"/>
    </row>
    <row r="928" spans="86:86" x14ac:dyDescent="0.25">
      <c r="CH928" s="5"/>
    </row>
    <row r="929" spans="86:86" x14ac:dyDescent="0.25">
      <c r="CH929" s="5"/>
    </row>
    <row r="930" spans="86:86" x14ac:dyDescent="0.25">
      <c r="CH930" s="5"/>
    </row>
    <row r="931" spans="86:86" x14ac:dyDescent="0.25">
      <c r="CH931" s="5"/>
    </row>
    <row r="932" spans="86:86" x14ac:dyDescent="0.25">
      <c r="CH932" s="5"/>
    </row>
    <row r="933" spans="86:86" x14ac:dyDescent="0.25">
      <c r="CH933" s="5"/>
    </row>
    <row r="934" spans="86:86" x14ac:dyDescent="0.25">
      <c r="CH934" s="5"/>
    </row>
    <row r="935" spans="86:86" x14ac:dyDescent="0.25">
      <c r="CH935" s="5"/>
    </row>
    <row r="936" spans="86:86" x14ac:dyDescent="0.25">
      <c r="CH936" s="5"/>
    </row>
    <row r="937" spans="86:86" x14ac:dyDescent="0.25">
      <c r="CH937" s="5"/>
    </row>
    <row r="938" spans="86:86" x14ac:dyDescent="0.25">
      <c r="CH938" s="5"/>
    </row>
    <row r="939" spans="86:86" x14ac:dyDescent="0.25">
      <c r="CH939" s="5"/>
    </row>
    <row r="940" spans="86:86" x14ac:dyDescent="0.25">
      <c r="CH940" s="5"/>
    </row>
    <row r="941" spans="86:86" x14ac:dyDescent="0.25">
      <c r="CH941" s="5"/>
    </row>
    <row r="942" spans="86:86" x14ac:dyDescent="0.25">
      <c r="CH942" s="5"/>
    </row>
    <row r="943" spans="86:86" x14ac:dyDescent="0.25">
      <c r="CH943" s="5"/>
    </row>
    <row r="944" spans="86:86" x14ac:dyDescent="0.25">
      <c r="CH944" s="5"/>
    </row>
    <row r="945" spans="86:86" x14ac:dyDescent="0.25">
      <c r="CH945" s="5"/>
    </row>
    <row r="946" spans="86:86" x14ac:dyDescent="0.25">
      <c r="CH946" s="5"/>
    </row>
    <row r="947" spans="86:86" x14ac:dyDescent="0.25">
      <c r="CH947" s="5"/>
    </row>
    <row r="948" spans="86:86" x14ac:dyDescent="0.25">
      <c r="CH948" s="5"/>
    </row>
    <row r="949" spans="86:86" x14ac:dyDescent="0.25">
      <c r="CH949" s="5"/>
    </row>
    <row r="950" spans="86:86" x14ac:dyDescent="0.25">
      <c r="CH950" s="5"/>
    </row>
    <row r="951" spans="86:86" x14ac:dyDescent="0.25">
      <c r="CH951" s="5"/>
    </row>
    <row r="952" spans="86:86" x14ac:dyDescent="0.25">
      <c r="CH952" s="5"/>
    </row>
    <row r="953" spans="86:86" x14ac:dyDescent="0.25">
      <c r="CH953" s="5"/>
    </row>
    <row r="954" spans="86:86" x14ac:dyDescent="0.25">
      <c r="CH954" s="5"/>
    </row>
    <row r="955" spans="86:86" x14ac:dyDescent="0.25">
      <c r="CH955" s="5"/>
    </row>
    <row r="956" spans="86:86" x14ac:dyDescent="0.25">
      <c r="CH956" s="5"/>
    </row>
    <row r="957" spans="86:86" x14ac:dyDescent="0.25">
      <c r="CH957" s="5"/>
    </row>
    <row r="958" spans="86:86" x14ac:dyDescent="0.25">
      <c r="CH958" s="5"/>
    </row>
    <row r="959" spans="86:86" x14ac:dyDescent="0.25">
      <c r="CH959" s="5"/>
    </row>
    <row r="960" spans="86:86" x14ac:dyDescent="0.25">
      <c r="CH960" s="5"/>
    </row>
    <row r="961" spans="86:86" x14ac:dyDescent="0.25">
      <c r="CH961" s="5"/>
    </row>
    <row r="962" spans="86:86" x14ac:dyDescent="0.25">
      <c r="CH962" s="5"/>
    </row>
    <row r="963" spans="86:86" x14ac:dyDescent="0.25">
      <c r="CH963" s="5"/>
    </row>
    <row r="964" spans="86:86" x14ac:dyDescent="0.25">
      <c r="CH964" s="5"/>
    </row>
    <row r="965" spans="86:86" x14ac:dyDescent="0.25">
      <c r="CH965" s="5"/>
    </row>
    <row r="966" spans="86:86" x14ac:dyDescent="0.25">
      <c r="CH966" s="5"/>
    </row>
    <row r="967" spans="86:86" x14ac:dyDescent="0.25">
      <c r="CH967" s="5"/>
    </row>
    <row r="968" spans="86:86" x14ac:dyDescent="0.25">
      <c r="CH968" s="5"/>
    </row>
    <row r="969" spans="86:86" x14ac:dyDescent="0.25">
      <c r="CH969" s="5"/>
    </row>
    <row r="970" spans="86:86" x14ac:dyDescent="0.25">
      <c r="CH970" s="5"/>
    </row>
    <row r="971" spans="86:86" x14ac:dyDescent="0.25">
      <c r="CH971" s="5"/>
    </row>
    <row r="972" spans="86:86" x14ac:dyDescent="0.25">
      <c r="CH972" s="5"/>
    </row>
    <row r="973" spans="86:86" x14ac:dyDescent="0.25">
      <c r="CH973" s="5"/>
    </row>
    <row r="974" spans="86:86" x14ac:dyDescent="0.25">
      <c r="CH974" s="5"/>
    </row>
    <row r="975" spans="86:86" x14ac:dyDescent="0.25">
      <c r="CH975" s="5"/>
    </row>
    <row r="976" spans="86:86" x14ac:dyDescent="0.25">
      <c r="CH976" s="5"/>
    </row>
    <row r="977" spans="86:86" x14ac:dyDescent="0.25">
      <c r="CH977" s="5"/>
    </row>
    <row r="978" spans="86:86" x14ac:dyDescent="0.25">
      <c r="CH978" s="5"/>
    </row>
    <row r="979" spans="86:86" x14ac:dyDescent="0.25">
      <c r="CH979" s="5"/>
    </row>
    <row r="980" spans="86:86" x14ac:dyDescent="0.25">
      <c r="CH980" s="5"/>
    </row>
    <row r="981" spans="86:86" x14ac:dyDescent="0.25">
      <c r="CH981" s="5"/>
    </row>
    <row r="982" spans="86:86" x14ac:dyDescent="0.25">
      <c r="CH982" s="5"/>
    </row>
    <row r="983" spans="86:86" x14ac:dyDescent="0.25">
      <c r="CH983" s="5"/>
    </row>
    <row r="984" spans="86:86" x14ac:dyDescent="0.25">
      <c r="CH984" s="5"/>
    </row>
    <row r="985" spans="86:86" x14ac:dyDescent="0.25">
      <c r="CH985" s="5"/>
    </row>
    <row r="986" spans="86:86" x14ac:dyDescent="0.25">
      <c r="CH986" s="5"/>
    </row>
    <row r="987" spans="86:86" x14ac:dyDescent="0.25">
      <c r="CH987" s="5"/>
    </row>
    <row r="988" spans="86:86" x14ac:dyDescent="0.25">
      <c r="CH988" s="5"/>
    </row>
    <row r="989" spans="86:86" x14ac:dyDescent="0.25">
      <c r="CH989" s="5"/>
    </row>
    <row r="990" spans="86:86" x14ac:dyDescent="0.25">
      <c r="CH990" s="5"/>
    </row>
    <row r="991" spans="86:86" x14ac:dyDescent="0.25">
      <c r="CH991" s="5"/>
    </row>
    <row r="992" spans="86:86" x14ac:dyDescent="0.25">
      <c r="CH992" s="5"/>
    </row>
    <row r="993" spans="86:86" x14ac:dyDescent="0.25">
      <c r="CH993" s="5"/>
    </row>
    <row r="994" spans="86:86" x14ac:dyDescent="0.25">
      <c r="CH994" s="5"/>
    </row>
    <row r="995" spans="86:86" x14ac:dyDescent="0.25">
      <c r="CH995" s="5"/>
    </row>
    <row r="996" spans="86:86" x14ac:dyDescent="0.25">
      <c r="CH996" s="5"/>
    </row>
    <row r="997" spans="86:86" x14ac:dyDescent="0.25">
      <c r="CH997" s="5"/>
    </row>
    <row r="998" spans="86:86" x14ac:dyDescent="0.25">
      <c r="CH998" s="5"/>
    </row>
    <row r="999" spans="86:86" x14ac:dyDescent="0.25">
      <c r="CH999" s="5"/>
    </row>
    <row r="1000" spans="86:86" x14ac:dyDescent="0.25">
      <c r="CH1000" s="5"/>
    </row>
    <row r="1001" spans="86:86" x14ac:dyDescent="0.25">
      <c r="CH1001" s="5"/>
    </row>
    <row r="1002" spans="86:86" x14ac:dyDescent="0.25">
      <c r="CH1002" s="5"/>
    </row>
    <row r="1003" spans="86:86" x14ac:dyDescent="0.25">
      <c r="CH1003" s="5"/>
    </row>
    <row r="1004" spans="86:86" x14ac:dyDescent="0.25">
      <c r="CH1004" s="5"/>
    </row>
    <row r="1005" spans="86:86" x14ac:dyDescent="0.25">
      <c r="CH1005" s="5"/>
    </row>
    <row r="1006" spans="86:86" x14ac:dyDescent="0.25">
      <c r="CH1006" s="5"/>
    </row>
    <row r="1007" spans="86:86" x14ac:dyDescent="0.25">
      <c r="CH1007" s="5"/>
    </row>
    <row r="1008" spans="86:86" x14ac:dyDescent="0.25">
      <c r="CH1008" s="5"/>
    </row>
    <row r="1009" spans="86:86" x14ac:dyDescent="0.25">
      <c r="CH1009" s="5"/>
    </row>
    <row r="1010" spans="86:86" x14ac:dyDescent="0.25">
      <c r="CH1010" s="5"/>
    </row>
    <row r="1011" spans="86:86" x14ac:dyDescent="0.25">
      <c r="CH1011" s="5"/>
    </row>
    <row r="1012" spans="86:86" x14ac:dyDescent="0.25">
      <c r="CH1012" s="5"/>
    </row>
    <row r="1013" spans="86:86" x14ac:dyDescent="0.25">
      <c r="CH1013" s="5"/>
    </row>
    <row r="1014" spans="86:86" x14ac:dyDescent="0.25">
      <c r="CH1014" s="5"/>
    </row>
    <row r="1015" spans="86:86" x14ac:dyDescent="0.25">
      <c r="CH1015" s="5"/>
    </row>
    <row r="1016" spans="86:86" x14ac:dyDescent="0.25">
      <c r="CH1016" s="5"/>
    </row>
    <row r="1017" spans="86:86" x14ac:dyDescent="0.25">
      <c r="CH1017" s="5"/>
    </row>
    <row r="1018" spans="86:86" x14ac:dyDescent="0.25">
      <c r="CH1018" s="5"/>
    </row>
    <row r="1019" spans="86:86" x14ac:dyDescent="0.25">
      <c r="CH1019" s="5"/>
    </row>
    <row r="1020" spans="86:86" x14ac:dyDescent="0.25">
      <c r="CH1020" s="5"/>
    </row>
    <row r="1021" spans="86:86" x14ac:dyDescent="0.25">
      <c r="CH1021" s="5"/>
    </row>
    <row r="1022" spans="86:86" x14ac:dyDescent="0.25">
      <c r="CH1022" s="5"/>
    </row>
    <row r="1023" spans="86:86" x14ac:dyDescent="0.25">
      <c r="CH1023" s="5"/>
    </row>
    <row r="1024" spans="86:86" x14ac:dyDescent="0.25">
      <c r="CH1024" s="5"/>
    </row>
    <row r="1025" spans="86:86" x14ac:dyDescent="0.25">
      <c r="CH1025" s="5"/>
    </row>
    <row r="1026" spans="86:86" x14ac:dyDescent="0.25">
      <c r="CH1026" s="5"/>
    </row>
    <row r="1027" spans="86:86" x14ac:dyDescent="0.25">
      <c r="CH1027" s="5"/>
    </row>
    <row r="1028" spans="86:86" x14ac:dyDescent="0.25">
      <c r="CH1028" s="5"/>
    </row>
    <row r="1029" spans="86:86" x14ac:dyDescent="0.25">
      <c r="CH1029" s="5"/>
    </row>
    <row r="1030" spans="86:86" x14ac:dyDescent="0.25">
      <c r="CH1030" s="5"/>
    </row>
    <row r="1031" spans="86:86" x14ac:dyDescent="0.25">
      <c r="CH1031" s="5"/>
    </row>
    <row r="1032" spans="86:86" x14ac:dyDescent="0.25">
      <c r="CH1032" s="5"/>
    </row>
    <row r="1033" spans="86:86" x14ac:dyDescent="0.25">
      <c r="CH1033" s="5"/>
    </row>
    <row r="1034" spans="86:86" x14ac:dyDescent="0.25">
      <c r="CH1034" s="5"/>
    </row>
    <row r="1035" spans="86:86" x14ac:dyDescent="0.25">
      <c r="CH1035" s="5"/>
    </row>
    <row r="1036" spans="86:86" x14ac:dyDescent="0.25">
      <c r="CH1036" s="5"/>
    </row>
    <row r="1037" spans="86:86" x14ac:dyDescent="0.25">
      <c r="CH1037" s="5"/>
    </row>
    <row r="1038" spans="86:86" x14ac:dyDescent="0.25">
      <c r="CH1038" s="5"/>
    </row>
    <row r="1039" spans="86:86" x14ac:dyDescent="0.25">
      <c r="CH1039" s="5"/>
    </row>
    <row r="1040" spans="86:86" x14ac:dyDescent="0.25">
      <c r="CH1040" s="5"/>
    </row>
    <row r="1041" spans="86:86" x14ac:dyDescent="0.25">
      <c r="CH1041" s="5"/>
    </row>
    <row r="1042" spans="86:86" x14ac:dyDescent="0.25">
      <c r="CH1042" s="5"/>
    </row>
    <row r="1043" spans="86:86" x14ac:dyDescent="0.25">
      <c r="CH1043" s="5"/>
    </row>
    <row r="1044" spans="86:86" x14ac:dyDescent="0.25">
      <c r="CH1044" s="5"/>
    </row>
    <row r="1045" spans="86:86" x14ac:dyDescent="0.25">
      <c r="CH1045" s="5"/>
    </row>
    <row r="1046" spans="86:86" x14ac:dyDescent="0.25">
      <c r="CH1046" s="5"/>
    </row>
    <row r="1047" spans="86:86" x14ac:dyDescent="0.25">
      <c r="CH1047" s="5"/>
    </row>
    <row r="1048" spans="86:86" x14ac:dyDescent="0.25">
      <c r="CH1048" s="5"/>
    </row>
    <row r="1049" spans="86:86" x14ac:dyDescent="0.25">
      <c r="CH1049" s="5"/>
    </row>
    <row r="1050" spans="86:86" x14ac:dyDescent="0.25">
      <c r="CH1050" s="5"/>
    </row>
    <row r="1051" spans="86:86" x14ac:dyDescent="0.25">
      <c r="CH1051" s="5"/>
    </row>
    <row r="1052" spans="86:86" x14ac:dyDescent="0.25">
      <c r="CH1052" s="5"/>
    </row>
    <row r="1053" spans="86:86" x14ac:dyDescent="0.25">
      <c r="CH1053" s="5"/>
    </row>
    <row r="1054" spans="86:86" x14ac:dyDescent="0.25">
      <c r="CH1054" s="5"/>
    </row>
    <row r="1055" spans="86:86" x14ac:dyDescent="0.25">
      <c r="CH1055" s="5"/>
    </row>
    <row r="1056" spans="86:86" x14ac:dyDescent="0.25">
      <c r="CH1056" s="5"/>
    </row>
    <row r="1057" spans="86:86" x14ac:dyDescent="0.25">
      <c r="CH1057" s="5"/>
    </row>
    <row r="1058" spans="86:86" x14ac:dyDescent="0.25">
      <c r="CH1058" s="5"/>
    </row>
    <row r="1059" spans="86:86" x14ac:dyDescent="0.25">
      <c r="CH1059" s="5"/>
    </row>
    <row r="1060" spans="86:86" x14ac:dyDescent="0.25">
      <c r="CH1060" s="5"/>
    </row>
    <row r="1061" spans="86:86" x14ac:dyDescent="0.25">
      <c r="CH1061" s="5"/>
    </row>
    <row r="1062" spans="86:86" x14ac:dyDescent="0.25">
      <c r="CH1062" s="5"/>
    </row>
    <row r="1063" spans="86:86" x14ac:dyDescent="0.25">
      <c r="CH1063" s="5"/>
    </row>
    <row r="1064" spans="86:86" x14ac:dyDescent="0.25">
      <c r="CH1064" s="5"/>
    </row>
    <row r="1065" spans="86:86" x14ac:dyDescent="0.25">
      <c r="CH1065" s="5"/>
    </row>
    <row r="1066" spans="86:86" x14ac:dyDescent="0.25">
      <c r="CH1066" s="5"/>
    </row>
    <row r="1067" spans="86:86" x14ac:dyDescent="0.25">
      <c r="CH1067" s="5"/>
    </row>
    <row r="1068" spans="86:86" x14ac:dyDescent="0.25">
      <c r="CH1068" s="5"/>
    </row>
    <row r="1069" spans="86:86" x14ac:dyDescent="0.25">
      <c r="CH1069" s="5"/>
    </row>
    <row r="1070" spans="86:86" x14ac:dyDescent="0.25">
      <c r="CH1070" s="5"/>
    </row>
    <row r="1071" spans="86:86" x14ac:dyDescent="0.25">
      <c r="CH1071" s="5"/>
    </row>
    <row r="1072" spans="86:86" x14ac:dyDescent="0.25">
      <c r="CH1072" s="5"/>
    </row>
    <row r="1073" spans="86:86" x14ac:dyDescent="0.25">
      <c r="CH1073" s="5"/>
    </row>
    <row r="1074" spans="86:86" x14ac:dyDescent="0.25">
      <c r="CH1074" s="5"/>
    </row>
    <row r="1075" spans="86:86" x14ac:dyDescent="0.25">
      <c r="CH1075" s="5"/>
    </row>
    <row r="1076" spans="86:86" x14ac:dyDescent="0.25">
      <c r="CH1076" s="5"/>
    </row>
    <row r="1077" spans="86:86" x14ac:dyDescent="0.25">
      <c r="CH1077" s="5"/>
    </row>
    <row r="1078" spans="86:86" x14ac:dyDescent="0.25">
      <c r="CH1078" s="5"/>
    </row>
    <row r="1079" spans="86:86" x14ac:dyDescent="0.25">
      <c r="CH1079" s="5"/>
    </row>
    <row r="1080" spans="86:86" x14ac:dyDescent="0.25">
      <c r="CH1080" s="5"/>
    </row>
    <row r="1081" spans="86:86" x14ac:dyDescent="0.25">
      <c r="CH1081" s="5"/>
    </row>
    <row r="1082" spans="86:86" x14ac:dyDescent="0.25">
      <c r="CH1082" s="5"/>
    </row>
    <row r="1083" spans="86:86" x14ac:dyDescent="0.25">
      <c r="CH1083" s="5"/>
    </row>
    <row r="1084" spans="86:86" x14ac:dyDescent="0.25">
      <c r="CH1084" s="5"/>
    </row>
    <row r="1085" spans="86:86" x14ac:dyDescent="0.25">
      <c r="CH1085" s="5"/>
    </row>
    <row r="1086" spans="86:86" x14ac:dyDescent="0.25">
      <c r="CH1086" s="5"/>
    </row>
    <row r="1087" spans="86:86" x14ac:dyDescent="0.25">
      <c r="CH1087" s="5"/>
    </row>
    <row r="1088" spans="86:86" x14ac:dyDescent="0.25">
      <c r="CH1088" s="5"/>
    </row>
    <row r="1089" spans="86:86" x14ac:dyDescent="0.25">
      <c r="CH1089" s="5"/>
    </row>
    <row r="1090" spans="86:86" x14ac:dyDescent="0.25">
      <c r="CH1090" s="5"/>
    </row>
    <row r="1091" spans="86:86" x14ac:dyDescent="0.25">
      <c r="CH1091" s="5"/>
    </row>
    <row r="1092" spans="86:86" x14ac:dyDescent="0.25">
      <c r="CH1092" s="5"/>
    </row>
    <row r="1093" spans="86:86" x14ac:dyDescent="0.25">
      <c r="CH1093" s="5"/>
    </row>
    <row r="1094" spans="86:86" x14ac:dyDescent="0.25">
      <c r="CH1094" s="5"/>
    </row>
    <row r="1095" spans="86:86" x14ac:dyDescent="0.25">
      <c r="CH1095" s="5"/>
    </row>
    <row r="1096" spans="86:86" x14ac:dyDescent="0.25">
      <c r="CH1096" s="5"/>
    </row>
    <row r="1097" spans="86:86" x14ac:dyDescent="0.25">
      <c r="CH1097" s="5"/>
    </row>
    <row r="1098" spans="86:86" x14ac:dyDescent="0.25">
      <c r="CH1098" s="5"/>
    </row>
    <row r="1099" spans="86:86" x14ac:dyDescent="0.25">
      <c r="CH1099" s="5"/>
    </row>
    <row r="1100" spans="86:86" x14ac:dyDescent="0.25">
      <c r="CH1100" s="5"/>
    </row>
    <row r="1101" spans="86:86" x14ac:dyDescent="0.25">
      <c r="CH1101" s="5"/>
    </row>
    <row r="1102" spans="86:86" x14ac:dyDescent="0.25">
      <c r="CH1102" s="5"/>
    </row>
    <row r="1103" spans="86:86" x14ac:dyDescent="0.25">
      <c r="CH1103" s="5"/>
    </row>
    <row r="1104" spans="86:86" x14ac:dyDescent="0.25">
      <c r="CH1104" s="5"/>
    </row>
    <row r="1105" spans="86:86" x14ac:dyDescent="0.25">
      <c r="CH1105" s="5"/>
    </row>
    <row r="1106" spans="86:86" x14ac:dyDescent="0.25">
      <c r="CH1106" s="5"/>
    </row>
    <row r="1107" spans="86:86" x14ac:dyDescent="0.25">
      <c r="CH1107" s="5"/>
    </row>
    <row r="1108" spans="86:86" x14ac:dyDescent="0.25">
      <c r="CH1108" s="5"/>
    </row>
    <row r="1109" spans="86:86" x14ac:dyDescent="0.25">
      <c r="CH1109" s="5"/>
    </row>
    <row r="1110" spans="86:86" x14ac:dyDescent="0.25">
      <c r="CH1110" s="5"/>
    </row>
    <row r="1111" spans="86:86" x14ac:dyDescent="0.25">
      <c r="CH1111" s="5"/>
    </row>
    <row r="1112" spans="86:86" x14ac:dyDescent="0.25">
      <c r="CH1112" s="5"/>
    </row>
    <row r="1113" spans="86:86" x14ac:dyDescent="0.25">
      <c r="CH1113" s="5"/>
    </row>
    <row r="1114" spans="86:86" x14ac:dyDescent="0.25">
      <c r="CH1114" s="5"/>
    </row>
    <row r="1115" spans="86:86" x14ac:dyDescent="0.25">
      <c r="CH1115" s="5"/>
    </row>
    <row r="1116" spans="86:86" x14ac:dyDescent="0.25">
      <c r="CH1116" s="5"/>
    </row>
    <row r="1117" spans="86:86" x14ac:dyDescent="0.25">
      <c r="CH1117" s="5"/>
    </row>
    <row r="1118" spans="86:86" x14ac:dyDescent="0.25">
      <c r="CH1118" s="5"/>
    </row>
    <row r="1119" spans="86:86" x14ac:dyDescent="0.25">
      <c r="CH1119" s="5"/>
    </row>
    <row r="1120" spans="86:86" x14ac:dyDescent="0.25">
      <c r="CH1120" s="5"/>
    </row>
    <row r="1121" spans="86:86" x14ac:dyDescent="0.25">
      <c r="CH1121" s="5"/>
    </row>
    <row r="1122" spans="86:86" x14ac:dyDescent="0.25">
      <c r="CH1122" s="5"/>
    </row>
    <row r="1123" spans="86:86" x14ac:dyDescent="0.25">
      <c r="CH1123" s="5"/>
    </row>
    <row r="1124" spans="86:86" x14ac:dyDescent="0.25">
      <c r="CH1124" s="5"/>
    </row>
    <row r="1125" spans="86:86" x14ac:dyDescent="0.25">
      <c r="CH1125" s="5"/>
    </row>
    <row r="1126" spans="86:86" x14ac:dyDescent="0.25">
      <c r="CH1126" s="5"/>
    </row>
    <row r="1127" spans="86:86" x14ac:dyDescent="0.25">
      <c r="CH1127" s="5"/>
    </row>
    <row r="1128" spans="86:86" x14ac:dyDescent="0.25">
      <c r="CH1128" s="5"/>
    </row>
    <row r="1129" spans="86:86" x14ac:dyDescent="0.25">
      <c r="CH1129" s="5"/>
    </row>
    <row r="1130" spans="86:86" x14ac:dyDescent="0.25">
      <c r="CH1130" s="5"/>
    </row>
    <row r="1131" spans="86:86" x14ac:dyDescent="0.25">
      <c r="CH1131" s="5"/>
    </row>
    <row r="1132" spans="86:86" x14ac:dyDescent="0.25">
      <c r="CH1132" s="5"/>
    </row>
    <row r="1133" spans="86:86" x14ac:dyDescent="0.25">
      <c r="CH1133" s="5"/>
    </row>
    <row r="1134" spans="86:86" x14ac:dyDescent="0.25">
      <c r="CH1134" s="5"/>
    </row>
    <row r="1135" spans="86:86" x14ac:dyDescent="0.25">
      <c r="CH1135" s="5"/>
    </row>
    <row r="1136" spans="86:86" x14ac:dyDescent="0.25">
      <c r="CH1136" s="5"/>
    </row>
    <row r="1137" spans="86:86" x14ac:dyDescent="0.25">
      <c r="CH1137" s="5"/>
    </row>
    <row r="1138" spans="86:86" x14ac:dyDescent="0.25">
      <c r="CH1138" s="5"/>
    </row>
    <row r="1139" spans="86:86" x14ac:dyDescent="0.25">
      <c r="CH1139" s="5"/>
    </row>
    <row r="1140" spans="86:86" x14ac:dyDescent="0.25">
      <c r="CH1140" s="5"/>
    </row>
    <row r="1141" spans="86:86" x14ac:dyDescent="0.25">
      <c r="CH1141" s="5"/>
    </row>
    <row r="1142" spans="86:86" x14ac:dyDescent="0.25">
      <c r="CH1142" s="5"/>
    </row>
    <row r="1143" spans="86:86" x14ac:dyDescent="0.25">
      <c r="CH1143" s="5"/>
    </row>
    <row r="1144" spans="86:86" x14ac:dyDescent="0.25">
      <c r="CH1144" s="5"/>
    </row>
    <row r="1145" spans="86:86" x14ac:dyDescent="0.25">
      <c r="CH1145" s="5"/>
    </row>
    <row r="1146" spans="86:86" x14ac:dyDescent="0.25">
      <c r="CH1146" s="5"/>
    </row>
    <row r="1147" spans="86:86" x14ac:dyDescent="0.25">
      <c r="CH1147" s="5"/>
    </row>
    <row r="1148" spans="86:86" x14ac:dyDescent="0.25">
      <c r="CH1148" s="5"/>
    </row>
    <row r="1149" spans="86:86" x14ac:dyDescent="0.25">
      <c r="CH1149" s="5"/>
    </row>
    <row r="1150" spans="86:86" x14ac:dyDescent="0.25">
      <c r="CH1150" s="5"/>
    </row>
    <row r="1151" spans="86:86" x14ac:dyDescent="0.25">
      <c r="CH1151" s="5"/>
    </row>
    <row r="1152" spans="86:86" x14ac:dyDescent="0.25">
      <c r="CH1152" s="5"/>
    </row>
    <row r="1153" spans="86:86" x14ac:dyDescent="0.25">
      <c r="CH1153" s="5"/>
    </row>
    <row r="1154" spans="86:86" x14ac:dyDescent="0.25">
      <c r="CH1154" s="5"/>
    </row>
    <row r="1155" spans="86:86" x14ac:dyDescent="0.25">
      <c r="CH1155" s="5"/>
    </row>
    <row r="1156" spans="86:86" x14ac:dyDescent="0.25">
      <c r="CH1156" s="5"/>
    </row>
    <row r="1157" spans="86:86" x14ac:dyDescent="0.25">
      <c r="CH1157" s="5"/>
    </row>
    <row r="1158" spans="86:86" x14ac:dyDescent="0.25">
      <c r="CH1158" s="5"/>
    </row>
    <row r="1159" spans="86:86" x14ac:dyDescent="0.25">
      <c r="CH1159" s="5"/>
    </row>
    <row r="1160" spans="86:86" x14ac:dyDescent="0.25">
      <c r="CH1160" s="5"/>
    </row>
    <row r="1161" spans="86:86" x14ac:dyDescent="0.25">
      <c r="CH1161" s="5"/>
    </row>
    <row r="1162" spans="86:86" x14ac:dyDescent="0.25">
      <c r="CH1162" s="5"/>
    </row>
    <row r="1163" spans="86:86" x14ac:dyDescent="0.25">
      <c r="CH1163" s="5"/>
    </row>
    <row r="1164" spans="86:86" x14ac:dyDescent="0.25">
      <c r="CH1164" s="5"/>
    </row>
    <row r="1165" spans="86:86" x14ac:dyDescent="0.25">
      <c r="CH1165" s="5"/>
    </row>
    <row r="1166" spans="86:86" x14ac:dyDescent="0.25">
      <c r="CH1166" s="5"/>
    </row>
    <row r="1167" spans="86:86" x14ac:dyDescent="0.25">
      <c r="CH1167" s="5"/>
    </row>
    <row r="1168" spans="86:86" x14ac:dyDescent="0.25">
      <c r="CH1168" s="5"/>
    </row>
    <row r="1169" spans="86:86" x14ac:dyDescent="0.25">
      <c r="CH1169" s="5"/>
    </row>
    <row r="1170" spans="86:86" x14ac:dyDescent="0.25">
      <c r="CH1170" s="5"/>
    </row>
    <row r="1171" spans="86:86" x14ac:dyDescent="0.25">
      <c r="CH1171" s="5"/>
    </row>
    <row r="1172" spans="86:86" x14ac:dyDescent="0.25">
      <c r="CH1172" s="5"/>
    </row>
    <row r="1173" spans="86:86" x14ac:dyDescent="0.25">
      <c r="CH1173" s="5"/>
    </row>
    <row r="1174" spans="86:86" x14ac:dyDescent="0.25">
      <c r="CH1174" s="5"/>
    </row>
    <row r="1175" spans="86:86" x14ac:dyDescent="0.25">
      <c r="CH1175" s="5"/>
    </row>
    <row r="1176" spans="86:86" x14ac:dyDescent="0.25">
      <c r="CH1176" s="5"/>
    </row>
    <row r="1177" spans="86:86" x14ac:dyDescent="0.25">
      <c r="CH1177" s="5"/>
    </row>
    <row r="1178" spans="86:86" x14ac:dyDescent="0.25">
      <c r="CH1178" s="5"/>
    </row>
    <row r="1179" spans="86:86" x14ac:dyDescent="0.25">
      <c r="CH1179" s="5"/>
    </row>
    <row r="1180" spans="86:86" x14ac:dyDescent="0.25">
      <c r="CH1180" s="5"/>
    </row>
    <row r="1181" spans="86:86" x14ac:dyDescent="0.25">
      <c r="CH1181" s="5"/>
    </row>
    <row r="1182" spans="86:86" x14ac:dyDescent="0.25">
      <c r="CH1182" s="5"/>
    </row>
    <row r="1183" spans="86:86" x14ac:dyDescent="0.25">
      <c r="CH1183" s="5"/>
    </row>
    <row r="1184" spans="86:86" x14ac:dyDescent="0.25">
      <c r="CH1184" s="5"/>
    </row>
    <row r="1185" spans="86:86" x14ac:dyDescent="0.25">
      <c r="CH1185" s="5"/>
    </row>
    <row r="1186" spans="86:86" x14ac:dyDescent="0.25">
      <c r="CH1186" s="5"/>
    </row>
    <row r="1187" spans="86:86" x14ac:dyDescent="0.25">
      <c r="CH1187" s="5"/>
    </row>
    <row r="1188" spans="86:86" x14ac:dyDescent="0.25">
      <c r="CH1188" s="5"/>
    </row>
    <row r="1189" spans="86:86" x14ac:dyDescent="0.25">
      <c r="CH1189" s="5"/>
    </row>
    <row r="1190" spans="86:86" x14ac:dyDescent="0.25">
      <c r="CH1190" s="5"/>
    </row>
    <row r="1191" spans="86:86" x14ac:dyDescent="0.25">
      <c r="CH1191" s="5"/>
    </row>
    <row r="1192" spans="86:86" x14ac:dyDescent="0.25">
      <c r="CH1192" s="5"/>
    </row>
    <row r="1193" spans="86:86" x14ac:dyDescent="0.25">
      <c r="CH1193" s="5"/>
    </row>
    <row r="1194" spans="86:86" x14ac:dyDescent="0.25">
      <c r="CH1194" s="5"/>
    </row>
    <row r="1195" spans="86:86" x14ac:dyDescent="0.25">
      <c r="CH1195" s="5"/>
    </row>
    <row r="1196" spans="86:86" x14ac:dyDescent="0.25">
      <c r="CH1196" s="5"/>
    </row>
    <row r="1197" spans="86:86" x14ac:dyDescent="0.25">
      <c r="CH1197" s="5"/>
    </row>
    <row r="1198" spans="86:86" x14ac:dyDescent="0.25">
      <c r="CH1198" s="5"/>
    </row>
    <row r="1199" spans="86:86" x14ac:dyDescent="0.25">
      <c r="CH1199" s="5"/>
    </row>
    <row r="1200" spans="86:86" x14ac:dyDescent="0.25">
      <c r="CH1200" s="5"/>
    </row>
    <row r="1201" spans="86:86" x14ac:dyDescent="0.25">
      <c r="CH1201" s="5"/>
    </row>
    <row r="1202" spans="86:86" x14ac:dyDescent="0.25">
      <c r="CH1202" s="5"/>
    </row>
    <row r="1203" spans="86:86" x14ac:dyDescent="0.25">
      <c r="CH1203" s="5"/>
    </row>
    <row r="1204" spans="86:86" x14ac:dyDescent="0.25">
      <c r="CH1204" s="5"/>
    </row>
    <row r="1205" spans="86:86" x14ac:dyDescent="0.25">
      <c r="CH1205" s="5"/>
    </row>
    <row r="1206" spans="86:86" x14ac:dyDescent="0.25">
      <c r="CH1206" s="5"/>
    </row>
    <row r="1207" spans="86:86" x14ac:dyDescent="0.25">
      <c r="CH1207" s="5"/>
    </row>
    <row r="1208" spans="86:86" x14ac:dyDescent="0.25">
      <c r="CH1208" s="5"/>
    </row>
    <row r="1209" spans="86:86" x14ac:dyDescent="0.25">
      <c r="CH1209" s="5"/>
    </row>
    <row r="1210" spans="86:86" x14ac:dyDescent="0.25">
      <c r="CH1210" s="5"/>
    </row>
    <row r="1211" spans="86:86" x14ac:dyDescent="0.25">
      <c r="CH1211" s="5"/>
    </row>
    <row r="1212" spans="86:86" x14ac:dyDescent="0.25">
      <c r="CH1212" s="5"/>
    </row>
    <row r="1213" spans="86:86" x14ac:dyDescent="0.25">
      <c r="CH1213" s="5"/>
    </row>
    <row r="1214" spans="86:86" x14ac:dyDescent="0.25">
      <c r="CH1214" s="5"/>
    </row>
    <row r="1215" spans="86:86" x14ac:dyDescent="0.25">
      <c r="CH1215" s="5"/>
    </row>
    <row r="1216" spans="86:86" x14ac:dyDescent="0.25">
      <c r="CH1216" s="5"/>
    </row>
    <row r="1217" spans="86:86" x14ac:dyDescent="0.25">
      <c r="CH1217" s="5"/>
    </row>
    <row r="1218" spans="86:86" x14ac:dyDescent="0.25">
      <c r="CH1218" s="5"/>
    </row>
    <row r="1219" spans="86:86" x14ac:dyDescent="0.25">
      <c r="CH1219" s="5"/>
    </row>
    <row r="1220" spans="86:86" x14ac:dyDescent="0.25">
      <c r="CH1220" s="5"/>
    </row>
    <row r="1221" spans="86:86" x14ac:dyDescent="0.25">
      <c r="CH1221" s="5"/>
    </row>
    <row r="1222" spans="86:86" x14ac:dyDescent="0.25">
      <c r="CH1222" s="5"/>
    </row>
    <row r="1223" spans="86:86" x14ac:dyDescent="0.25">
      <c r="CH1223" s="5"/>
    </row>
    <row r="1224" spans="86:86" x14ac:dyDescent="0.25">
      <c r="CH1224" s="5"/>
    </row>
    <row r="1225" spans="86:86" x14ac:dyDescent="0.25">
      <c r="CH1225" s="5"/>
    </row>
    <row r="1226" spans="86:86" x14ac:dyDescent="0.25">
      <c r="CH1226" s="5"/>
    </row>
    <row r="1227" spans="86:86" x14ac:dyDescent="0.25">
      <c r="CH1227" s="5"/>
    </row>
    <row r="1228" spans="86:86" x14ac:dyDescent="0.25">
      <c r="CH1228" s="5"/>
    </row>
    <row r="1229" spans="86:86" x14ac:dyDescent="0.25">
      <c r="CH1229" s="5"/>
    </row>
    <row r="1230" spans="86:86" x14ac:dyDescent="0.25">
      <c r="CH1230" s="5"/>
    </row>
    <row r="1231" spans="86:86" x14ac:dyDescent="0.25">
      <c r="CH1231" s="5"/>
    </row>
    <row r="1232" spans="86:86" x14ac:dyDescent="0.25">
      <c r="CH1232" s="5"/>
    </row>
    <row r="1233" spans="86:86" x14ac:dyDescent="0.25">
      <c r="CH1233" s="5"/>
    </row>
    <row r="1234" spans="86:86" x14ac:dyDescent="0.25">
      <c r="CH1234" s="5"/>
    </row>
    <row r="1235" spans="86:86" x14ac:dyDescent="0.25">
      <c r="CH1235" s="5"/>
    </row>
    <row r="1236" spans="86:86" x14ac:dyDescent="0.25">
      <c r="CH1236" s="5"/>
    </row>
    <row r="1237" spans="86:86" x14ac:dyDescent="0.25">
      <c r="CH1237" s="5"/>
    </row>
    <row r="1238" spans="86:86" x14ac:dyDescent="0.25">
      <c r="CH1238" s="5"/>
    </row>
    <row r="1239" spans="86:86" x14ac:dyDescent="0.25">
      <c r="CH1239" s="5"/>
    </row>
    <row r="1240" spans="86:86" x14ac:dyDescent="0.25">
      <c r="CH1240" s="5"/>
    </row>
    <row r="1241" spans="86:86" x14ac:dyDescent="0.25">
      <c r="CH1241" s="5"/>
    </row>
    <row r="1242" spans="86:86" x14ac:dyDescent="0.25">
      <c r="CH1242" s="5"/>
    </row>
    <row r="1243" spans="86:86" x14ac:dyDescent="0.25">
      <c r="CH1243" s="5"/>
    </row>
    <row r="1244" spans="86:86" x14ac:dyDescent="0.25">
      <c r="CH1244" s="5"/>
    </row>
    <row r="1245" spans="86:86" x14ac:dyDescent="0.25">
      <c r="CH1245" s="5"/>
    </row>
    <row r="1246" spans="86:86" x14ac:dyDescent="0.25">
      <c r="CH1246" s="5"/>
    </row>
    <row r="1247" spans="86:86" x14ac:dyDescent="0.25">
      <c r="CH1247" s="5"/>
    </row>
    <row r="1248" spans="86:86" x14ac:dyDescent="0.25">
      <c r="CH1248" s="5"/>
    </row>
    <row r="1249" spans="86:86" x14ac:dyDescent="0.25">
      <c r="CH1249" s="5"/>
    </row>
    <row r="1250" spans="86:86" x14ac:dyDescent="0.25">
      <c r="CH1250" s="5"/>
    </row>
    <row r="1251" spans="86:86" x14ac:dyDescent="0.25">
      <c r="CH1251" s="5"/>
    </row>
    <row r="1252" spans="86:86" x14ac:dyDescent="0.25">
      <c r="CH1252" s="5"/>
    </row>
    <row r="1253" spans="86:86" x14ac:dyDescent="0.25">
      <c r="CH1253" s="5"/>
    </row>
    <row r="1254" spans="86:86" x14ac:dyDescent="0.25">
      <c r="CH1254" s="5"/>
    </row>
    <row r="1255" spans="86:86" x14ac:dyDescent="0.25">
      <c r="CH1255" s="5"/>
    </row>
    <row r="1256" spans="86:86" x14ac:dyDescent="0.25">
      <c r="CH1256" s="5"/>
    </row>
    <row r="1257" spans="86:86" x14ac:dyDescent="0.25">
      <c r="CH1257" s="5"/>
    </row>
    <row r="1258" spans="86:86" x14ac:dyDescent="0.25">
      <c r="CH1258" s="5"/>
    </row>
    <row r="1259" spans="86:86" x14ac:dyDescent="0.25">
      <c r="CH1259" s="5"/>
    </row>
    <row r="1260" spans="86:86" x14ac:dyDescent="0.25">
      <c r="CH1260" s="5"/>
    </row>
    <row r="1261" spans="86:86" x14ac:dyDescent="0.25">
      <c r="CH1261" s="5"/>
    </row>
    <row r="1262" spans="86:86" x14ac:dyDescent="0.25">
      <c r="CH1262" s="5"/>
    </row>
    <row r="1263" spans="86:86" x14ac:dyDescent="0.25">
      <c r="CH1263" s="5"/>
    </row>
    <row r="1264" spans="86:86" x14ac:dyDescent="0.25">
      <c r="CH1264" s="5"/>
    </row>
    <row r="1265" spans="86:86" x14ac:dyDescent="0.25">
      <c r="CH1265" s="5"/>
    </row>
    <row r="1266" spans="86:86" x14ac:dyDescent="0.25">
      <c r="CH1266" s="5"/>
    </row>
    <row r="1267" spans="86:86" x14ac:dyDescent="0.25">
      <c r="CH1267" s="5"/>
    </row>
    <row r="1268" spans="86:86" x14ac:dyDescent="0.25">
      <c r="CH1268" s="5"/>
    </row>
    <row r="1269" spans="86:86" x14ac:dyDescent="0.25">
      <c r="CH1269" s="5"/>
    </row>
    <row r="1270" spans="86:86" x14ac:dyDescent="0.25">
      <c r="CH1270" s="5"/>
    </row>
    <row r="1271" spans="86:86" x14ac:dyDescent="0.25">
      <c r="CH1271" s="5"/>
    </row>
    <row r="1272" spans="86:86" x14ac:dyDescent="0.25">
      <c r="CH1272" s="5"/>
    </row>
    <row r="1273" spans="86:86" x14ac:dyDescent="0.25">
      <c r="CH1273" s="5"/>
    </row>
    <row r="1274" spans="86:86" x14ac:dyDescent="0.25">
      <c r="CH1274" s="5"/>
    </row>
    <row r="1275" spans="86:86" x14ac:dyDescent="0.25">
      <c r="CH1275" s="5"/>
    </row>
    <row r="1276" spans="86:86" x14ac:dyDescent="0.25">
      <c r="CH1276" s="5"/>
    </row>
    <row r="1277" spans="86:86" x14ac:dyDescent="0.25">
      <c r="CH1277" s="5"/>
    </row>
    <row r="1278" spans="86:86" x14ac:dyDescent="0.25">
      <c r="CH1278" s="5"/>
    </row>
    <row r="1279" spans="86:86" x14ac:dyDescent="0.25">
      <c r="CH1279" s="5"/>
    </row>
    <row r="1280" spans="86:86" x14ac:dyDescent="0.25">
      <c r="CH1280" s="5"/>
    </row>
    <row r="1281" spans="86:86" x14ac:dyDescent="0.25">
      <c r="CH1281" s="5"/>
    </row>
    <row r="1282" spans="86:86" x14ac:dyDescent="0.25">
      <c r="CH1282" s="5"/>
    </row>
    <row r="1283" spans="86:86" x14ac:dyDescent="0.25">
      <c r="CH1283" s="5"/>
    </row>
    <row r="1284" spans="86:86" x14ac:dyDescent="0.25">
      <c r="CH1284" s="5"/>
    </row>
    <row r="1285" spans="86:86" x14ac:dyDescent="0.25">
      <c r="CH1285" s="5"/>
    </row>
    <row r="1286" spans="86:86" x14ac:dyDescent="0.25">
      <c r="CH1286" s="5"/>
    </row>
    <row r="1287" spans="86:86" x14ac:dyDescent="0.25">
      <c r="CH1287" s="5"/>
    </row>
    <row r="1288" spans="86:86" x14ac:dyDescent="0.25">
      <c r="CH1288" s="5"/>
    </row>
    <row r="1289" spans="86:86" x14ac:dyDescent="0.25">
      <c r="CH1289" s="5"/>
    </row>
    <row r="1290" spans="86:86" x14ac:dyDescent="0.25">
      <c r="CH1290" s="5"/>
    </row>
    <row r="1291" spans="86:86" x14ac:dyDescent="0.25">
      <c r="CH1291" s="5"/>
    </row>
    <row r="1292" spans="86:86" x14ac:dyDescent="0.25">
      <c r="CH1292" s="5"/>
    </row>
    <row r="1293" spans="86:86" x14ac:dyDescent="0.25">
      <c r="CH1293" s="5"/>
    </row>
    <row r="1294" spans="86:86" x14ac:dyDescent="0.25">
      <c r="CH1294" s="5"/>
    </row>
    <row r="1295" spans="86:86" x14ac:dyDescent="0.25">
      <c r="CH1295" s="5"/>
    </row>
    <row r="1296" spans="86:86" x14ac:dyDescent="0.25">
      <c r="CH1296" s="5"/>
    </row>
    <row r="1297" spans="86:86" x14ac:dyDescent="0.25">
      <c r="CH1297" s="5"/>
    </row>
    <row r="1298" spans="86:86" x14ac:dyDescent="0.25">
      <c r="CH1298" s="5"/>
    </row>
    <row r="1299" spans="86:86" x14ac:dyDescent="0.25">
      <c r="CH1299" s="5"/>
    </row>
    <row r="1300" spans="86:86" x14ac:dyDescent="0.25">
      <c r="CH1300" s="5"/>
    </row>
    <row r="1301" spans="86:86" x14ac:dyDescent="0.25">
      <c r="CH1301" s="5"/>
    </row>
    <row r="1302" spans="86:86" x14ac:dyDescent="0.25">
      <c r="CH1302" s="5"/>
    </row>
    <row r="1303" spans="86:86" x14ac:dyDescent="0.25">
      <c r="CH1303" s="5"/>
    </row>
    <row r="1304" spans="86:86" x14ac:dyDescent="0.25">
      <c r="CH1304" s="5"/>
    </row>
    <row r="1305" spans="86:86" x14ac:dyDescent="0.25">
      <c r="CH1305" s="5"/>
    </row>
    <row r="1306" spans="86:86" x14ac:dyDescent="0.25">
      <c r="CH1306" s="5"/>
    </row>
    <row r="1307" spans="86:86" x14ac:dyDescent="0.25">
      <c r="CH1307" s="5"/>
    </row>
    <row r="1308" spans="86:86" x14ac:dyDescent="0.25">
      <c r="CH1308" s="5"/>
    </row>
    <row r="1309" spans="86:86" x14ac:dyDescent="0.25">
      <c r="CH1309" s="5"/>
    </row>
    <row r="1310" spans="86:86" x14ac:dyDescent="0.25">
      <c r="CH1310" s="5"/>
    </row>
    <row r="1311" spans="86:86" x14ac:dyDescent="0.25">
      <c r="CH1311" s="5"/>
    </row>
    <row r="1312" spans="86:86" x14ac:dyDescent="0.25">
      <c r="CH1312" s="5"/>
    </row>
    <row r="1313" spans="86:86" x14ac:dyDescent="0.25">
      <c r="CH1313" s="5"/>
    </row>
    <row r="1314" spans="86:86" x14ac:dyDescent="0.25">
      <c r="CH1314" s="5"/>
    </row>
    <row r="1315" spans="86:86" x14ac:dyDescent="0.25">
      <c r="CH1315" s="5"/>
    </row>
    <row r="1316" spans="86:86" x14ac:dyDescent="0.25">
      <c r="CH1316" s="5"/>
    </row>
    <row r="1317" spans="86:86" x14ac:dyDescent="0.25">
      <c r="CH1317" s="5"/>
    </row>
    <row r="1318" spans="86:86" x14ac:dyDescent="0.25">
      <c r="CH1318" s="5"/>
    </row>
    <row r="1319" spans="86:86" x14ac:dyDescent="0.25">
      <c r="CH1319" s="5"/>
    </row>
    <row r="1320" spans="86:86" x14ac:dyDescent="0.25">
      <c r="CH1320" s="5"/>
    </row>
    <row r="1321" spans="86:86" x14ac:dyDescent="0.25">
      <c r="CH1321" s="5"/>
    </row>
    <row r="1322" spans="86:86" x14ac:dyDescent="0.25">
      <c r="CH1322" s="5"/>
    </row>
    <row r="1323" spans="86:86" x14ac:dyDescent="0.25">
      <c r="CH1323" s="5"/>
    </row>
    <row r="1324" spans="86:86" x14ac:dyDescent="0.25">
      <c r="CH1324" s="5"/>
    </row>
    <row r="1325" spans="86:86" x14ac:dyDescent="0.25">
      <c r="CH1325" s="5"/>
    </row>
    <row r="1326" spans="86:86" x14ac:dyDescent="0.25">
      <c r="CH1326" s="5"/>
    </row>
    <row r="1327" spans="86:86" x14ac:dyDescent="0.25">
      <c r="CH1327" s="5"/>
    </row>
    <row r="1328" spans="86:86" x14ac:dyDescent="0.25">
      <c r="CH1328" s="5"/>
    </row>
    <row r="1329" spans="86:86" x14ac:dyDescent="0.25">
      <c r="CH1329" s="5"/>
    </row>
    <row r="1330" spans="86:86" x14ac:dyDescent="0.25">
      <c r="CH1330" s="5"/>
    </row>
    <row r="1331" spans="86:86" x14ac:dyDescent="0.25">
      <c r="CH1331" s="5"/>
    </row>
    <row r="1332" spans="86:86" x14ac:dyDescent="0.25">
      <c r="CH1332" s="5"/>
    </row>
    <row r="1333" spans="86:86" x14ac:dyDescent="0.25">
      <c r="CH1333" s="5"/>
    </row>
    <row r="1334" spans="86:86" x14ac:dyDescent="0.25">
      <c r="CH1334" s="5"/>
    </row>
    <row r="1335" spans="86:86" x14ac:dyDescent="0.25">
      <c r="CH1335" s="5"/>
    </row>
    <row r="1336" spans="86:86" x14ac:dyDescent="0.25">
      <c r="CH1336" s="5"/>
    </row>
    <row r="1337" spans="86:86" x14ac:dyDescent="0.25">
      <c r="CH1337" s="5"/>
    </row>
    <row r="1338" spans="86:86" x14ac:dyDescent="0.25">
      <c r="CH1338" s="5"/>
    </row>
    <row r="1339" spans="86:86" x14ac:dyDescent="0.25">
      <c r="CH1339" s="5"/>
    </row>
    <row r="1340" spans="86:86" x14ac:dyDescent="0.25">
      <c r="CH1340" s="5"/>
    </row>
    <row r="1341" spans="86:86" x14ac:dyDescent="0.25">
      <c r="CH1341" s="5"/>
    </row>
    <row r="1342" spans="86:86" x14ac:dyDescent="0.25">
      <c r="CH1342" s="5"/>
    </row>
    <row r="1343" spans="86:86" x14ac:dyDescent="0.25">
      <c r="CH1343" s="5"/>
    </row>
    <row r="1344" spans="86:86" x14ac:dyDescent="0.25">
      <c r="CH1344" s="5"/>
    </row>
    <row r="1345" spans="86:86" x14ac:dyDescent="0.25">
      <c r="CH1345" s="5"/>
    </row>
    <row r="1346" spans="86:86" x14ac:dyDescent="0.25">
      <c r="CH1346" s="5"/>
    </row>
    <row r="1347" spans="86:86" x14ac:dyDescent="0.25">
      <c r="CH1347" s="5"/>
    </row>
    <row r="1348" spans="86:86" x14ac:dyDescent="0.25">
      <c r="CH1348" s="5"/>
    </row>
    <row r="1349" spans="86:86" x14ac:dyDescent="0.25">
      <c r="CH1349" s="5"/>
    </row>
    <row r="1350" spans="86:86" x14ac:dyDescent="0.25">
      <c r="CH1350" s="5"/>
    </row>
    <row r="1351" spans="86:86" x14ac:dyDescent="0.25">
      <c r="CH1351" s="5"/>
    </row>
    <row r="1352" spans="86:86" x14ac:dyDescent="0.25">
      <c r="CH1352" s="5"/>
    </row>
    <row r="1353" spans="86:86" x14ac:dyDescent="0.25">
      <c r="CH1353" s="5"/>
    </row>
    <row r="1354" spans="86:86" x14ac:dyDescent="0.25">
      <c r="CH1354" s="5"/>
    </row>
    <row r="1355" spans="86:86" x14ac:dyDescent="0.25">
      <c r="CH1355" s="5"/>
    </row>
    <row r="1356" spans="86:86" x14ac:dyDescent="0.25">
      <c r="CH1356" s="5"/>
    </row>
    <row r="1357" spans="86:86" x14ac:dyDescent="0.25">
      <c r="CH1357" s="5"/>
    </row>
    <row r="1358" spans="86:86" x14ac:dyDescent="0.25">
      <c r="CH1358" s="5"/>
    </row>
    <row r="1359" spans="86:86" x14ac:dyDescent="0.25">
      <c r="CH1359" s="5"/>
    </row>
    <row r="1360" spans="86:86" x14ac:dyDescent="0.25">
      <c r="CH1360" s="5"/>
    </row>
    <row r="1361" spans="86:86" x14ac:dyDescent="0.25">
      <c r="CH1361" s="5"/>
    </row>
    <row r="1362" spans="86:86" x14ac:dyDescent="0.25">
      <c r="CH1362" s="5"/>
    </row>
    <row r="1363" spans="86:86" x14ac:dyDescent="0.25">
      <c r="CH1363" s="5"/>
    </row>
    <row r="1364" spans="86:86" x14ac:dyDescent="0.25">
      <c r="CH1364" s="5"/>
    </row>
    <row r="1365" spans="86:86" x14ac:dyDescent="0.25">
      <c r="CH1365" s="5"/>
    </row>
    <row r="1366" spans="86:86" x14ac:dyDescent="0.25">
      <c r="CH1366" s="5"/>
    </row>
    <row r="1367" spans="86:86" x14ac:dyDescent="0.25">
      <c r="CH1367" s="5"/>
    </row>
    <row r="1368" spans="86:86" x14ac:dyDescent="0.25">
      <c r="CH1368" s="5"/>
    </row>
    <row r="1369" spans="86:86" x14ac:dyDescent="0.25">
      <c r="CH1369" s="5"/>
    </row>
    <row r="1370" spans="86:86" x14ac:dyDescent="0.25">
      <c r="CH1370" s="5"/>
    </row>
    <row r="1371" spans="86:86" x14ac:dyDescent="0.25">
      <c r="CH1371" s="5"/>
    </row>
    <row r="1372" spans="86:86" x14ac:dyDescent="0.25">
      <c r="CH1372" s="5"/>
    </row>
    <row r="1373" spans="86:86" x14ac:dyDescent="0.25">
      <c r="CH1373" s="5"/>
    </row>
    <row r="1374" spans="86:86" x14ac:dyDescent="0.25">
      <c r="CH1374" s="5"/>
    </row>
    <row r="1375" spans="86:86" x14ac:dyDescent="0.25">
      <c r="CH1375" s="5"/>
    </row>
    <row r="1376" spans="86:86" x14ac:dyDescent="0.25">
      <c r="CH1376" s="5"/>
    </row>
    <row r="1377" spans="86:86" x14ac:dyDescent="0.25">
      <c r="CH1377" s="5"/>
    </row>
    <row r="1378" spans="86:86" x14ac:dyDescent="0.25">
      <c r="CH1378" s="5"/>
    </row>
    <row r="1379" spans="86:86" x14ac:dyDescent="0.25">
      <c r="CH1379" s="5"/>
    </row>
    <row r="1380" spans="86:86" x14ac:dyDescent="0.25">
      <c r="CH1380" s="5"/>
    </row>
    <row r="1381" spans="86:86" x14ac:dyDescent="0.25">
      <c r="CH1381" s="5"/>
    </row>
    <row r="1382" spans="86:86" x14ac:dyDescent="0.25">
      <c r="CH1382" s="5"/>
    </row>
    <row r="1383" spans="86:86" x14ac:dyDescent="0.25">
      <c r="CH1383" s="5"/>
    </row>
    <row r="1384" spans="86:86" x14ac:dyDescent="0.25">
      <c r="CH1384" s="5"/>
    </row>
    <row r="1385" spans="86:86" x14ac:dyDescent="0.25">
      <c r="CH1385" s="5"/>
    </row>
    <row r="1386" spans="86:86" x14ac:dyDescent="0.25">
      <c r="CH1386" s="5"/>
    </row>
    <row r="1387" spans="86:86" x14ac:dyDescent="0.25">
      <c r="CH1387" s="5"/>
    </row>
    <row r="1388" spans="86:86" x14ac:dyDescent="0.25">
      <c r="CH1388" s="5"/>
    </row>
    <row r="1389" spans="86:86" x14ac:dyDescent="0.25">
      <c r="CH1389" s="5"/>
    </row>
    <row r="1390" spans="86:86" x14ac:dyDescent="0.25">
      <c r="CH1390" s="5"/>
    </row>
    <row r="1391" spans="86:86" x14ac:dyDescent="0.25">
      <c r="CH1391" s="5"/>
    </row>
    <row r="1392" spans="86:86" x14ac:dyDescent="0.25">
      <c r="CH1392" s="5"/>
    </row>
    <row r="1393" spans="86:86" x14ac:dyDescent="0.25">
      <c r="CH1393" s="5"/>
    </row>
    <row r="1394" spans="86:86" x14ac:dyDescent="0.25">
      <c r="CH1394" s="5"/>
    </row>
    <row r="1395" spans="86:86" x14ac:dyDescent="0.25">
      <c r="CH1395" s="5"/>
    </row>
    <row r="1396" spans="86:86" x14ac:dyDescent="0.25">
      <c r="CH1396" s="5"/>
    </row>
    <row r="1397" spans="86:86" x14ac:dyDescent="0.25">
      <c r="CH1397" s="5"/>
    </row>
    <row r="1398" spans="86:86" x14ac:dyDescent="0.25">
      <c r="CH1398" s="5"/>
    </row>
    <row r="1399" spans="86:86" x14ac:dyDescent="0.25">
      <c r="CH1399" s="5"/>
    </row>
    <row r="1400" spans="86:86" x14ac:dyDescent="0.25">
      <c r="CH1400" s="5"/>
    </row>
    <row r="1401" spans="86:86" x14ac:dyDescent="0.25">
      <c r="CH1401" s="5"/>
    </row>
    <row r="1402" spans="86:86" x14ac:dyDescent="0.25">
      <c r="CH1402" s="5"/>
    </row>
    <row r="1403" spans="86:86" x14ac:dyDescent="0.25">
      <c r="CH1403" s="5"/>
    </row>
    <row r="1404" spans="86:86" x14ac:dyDescent="0.25">
      <c r="CH1404" s="5"/>
    </row>
    <row r="1405" spans="86:86" x14ac:dyDescent="0.25">
      <c r="CH1405" s="5"/>
    </row>
    <row r="1406" spans="86:86" x14ac:dyDescent="0.25">
      <c r="CH1406" s="5"/>
    </row>
    <row r="1407" spans="86:86" x14ac:dyDescent="0.25">
      <c r="CH1407" s="5"/>
    </row>
    <row r="1408" spans="86:86" x14ac:dyDescent="0.25">
      <c r="CH1408" s="5"/>
    </row>
    <row r="1409" spans="86:86" x14ac:dyDescent="0.25">
      <c r="CH1409" s="5"/>
    </row>
    <row r="1410" spans="86:86" x14ac:dyDescent="0.25">
      <c r="CH1410" s="5"/>
    </row>
    <row r="1411" spans="86:86" x14ac:dyDescent="0.25">
      <c r="CH1411" s="5"/>
    </row>
    <row r="1412" spans="86:86" x14ac:dyDescent="0.25">
      <c r="CH1412" s="5"/>
    </row>
    <row r="1413" spans="86:86" x14ac:dyDescent="0.25">
      <c r="CH1413" s="5"/>
    </row>
    <row r="1414" spans="86:86" x14ac:dyDescent="0.25">
      <c r="CH1414" s="5"/>
    </row>
    <row r="1415" spans="86:86" x14ac:dyDescent="0.25">
      <c r="CH1415" s="5"/>
    </row>
    <row r="1416" spans="86:86" x14ac:dyDescent="0.25">
      <c r="CH1416" s="5"/>
    </row>
    <row r="1417" spans="86:86" x14ac:dyDescent="0.25">
      <c r="CH1417" s="5"/>
    </row>
    <row r="1418" spans="86:86" x14ac:dyDescent="0.25">
      <c r="CH1418" s="5"/>
    </row>
    <row r="1419" spans="86:86" x14ac:dyDescent="0.25">
      <c r="CH1419" s="5"/>
    </row>
    <row r="1420" spans="86:86" x14ac:dyDescent="0.25">
      <c r="CH1420" s="5"/>
    </row>
    <row r="1421" spans="86:86" x14ac:dyDescent="0.25">
      <c r="CH1421" s="5"/>
    </row>
    <row r="1422" spans="86:86" x14ac:dyDescent="0.25">
      <c r="CH1422" s="5"/>
    </row>
    <row r="1423" spans="86:86" x14ac:dyDescent="0.25">
      <c r="CH1423" s="5"/>
    </row>
    <row r="1424" spans="86:86" x14ac:dyDescent="0.25">
      <c r="CH1424" s="5"/>
    </row>
    <row r="1425" spans="86:86" x14ac:dyDescent="0.25">
      <c r="CH1425" s="5"/>
    </row>
    <row r="1426" spans="86:86" x14ac:dyDescent="0.25">
      <c r="CH1426" s="5"/>
    </row>
    <row r="1427" spans="86:86" x14ac:dyDescent="0.25">
      <c r="CH1427" s="5"/>
    </row>
    <row r="1428" spans="86:86" x14ac:dyDescent="0.25">
      <c r="CH1428" s="5"/>
    </row>
    <row r="1429" spans="86:86" x14ac:dyDescent="0.25">
      <c r="CH1429" s="5"/>
    </row>
    <row r="1430" spans="86:86" x14ac:dyDescent="0.25">
      <c r="CH1430" s="5"/>
    </row>
    <row r="1431" spans="86:86" x14ac:dyDescent="0.25">
      <c r="CH1431" s="5"/>
    </row>
    <row r="1432" spans="86:86" x14ac:dyDescent="0.25">
      <c r="CH1432" s="5"/>
    </row>
    <row r="1433" spans="86:86" x14ac:dyDescent="0.25">
      <c r="CH1433" s="5"/>
    </row>
    <row r="1434" spans="86:86" x14ac:dyDescent="0.25">
      <c r="CH1434" s="5"/>
    </row>
    <row r="1435" spans="86:86" x14ac:dyDescent="0.25">
      <c r="CH1435" s="5"/>
    </row>
    <row r="1436" spans="86:86" x14ac:dyDescent="0.25">
      <c r="CH1436" s="5"/>
    </row>
    <row r="1437" spans="86:86" x14ac:dyDescent="0.25">
      <c r="CH1437" s="5"/>
    </row>
    <row r="1438" spans="86:86" x14ac:dyDescent="0.25">
      <c r="CH1438" s="5"/>
    </row>
    <row r="1439" spans="86:86" x14ac:dyDescent="0.25">
      <c r="CH1439" s="5"/>
    </row>
    <row r="1440" spans="86:86" x14ac:dyDescent="0.25">
      <c r="CH1440" s="5"/>
    </row>
    <row r="1441" spans="86:86" x14ac:dyDescent="0.25">
      <c r="CH1441" s="5"/>
    </row>
    <row r="1442" spans="86:86" x14ac:dyDescent="0.25">
      <c r="CH1442" s="5"/>
    </row>
    <row r="1443" spans="86:86" x14ac:dyDescent="0.25">
      <c r="CH1443" s="5"/>
    </row>
    <row r="1444" spans="86:86" x14ac:dyDescent="0.25">
      <c r="CH1444" s="5"/>
    </row>
    <row r="1445" spans="86:86" x14ac:dyDescent="0.25">
      <c r="CH1445" s="5"/>
    </row>
    <row r="1446" spans="86:86" x14ac:dyDescent="0.25">
      <c r="CH1446" s="5"/>
    </row>
    <row r="1447" spans="86:86" x14ac:dyDescent="0.25">
      <c r="CH1447" s="5"/>
    </row>
    <row r="1448" spans="86:86" x14ac:dyDescent="0.25">
      <c r="CH1448" s="5"/>
    </row>
    <row r="1449" spans="86:86" x14ac:dyDescent="0.25">
      <c r="CH1449" s="5"/>
    </row>
    <row r="1450" spans="86:86" x14ac:dyDescent="0.25">
      <c r="CH1450" s="5"/>
    </row>
    <row r="1451" spans="86:86" x14ac:dyDescent="0.25">
      <c r="CH1451" s="5"/>
    </row>
    <row r="1452" spans="86:86" x14ac:dyDescent="0.25">
      <c r="CH1452" s="5"/>
    </row>
    <row r="1453" spans="86:86" x14ac:dyDescent="0.25">
      <c r="CH1453" s="5"/>
    </row>
    <row r="1454" spans="86:86" x14ac:dyDescent="0.25">
      <c r="CH1454" s="5"/>
    </row>
    <row r="1455" spans="86:86" x14ac:dyDescent="0.25">
      <c r="CH1455" s="5"/>
    </row>
    <row r="1456" spans="86:86" x14ac:dyDescent="0.25">
      <c r="CH1456" s="5"/>
    </row>
    <row r="1457" spans="86:86" x14ac:dyDescent="0.25">
      <c r="CH1457" s="5"/>
    </row>
    <row r="1458" spans="86:86" x14ac:dyDescent="0.25">
      <c r="CH1458" s="5"/>
    </row>
    <row r="1459" spans="86:86" x14ac:dyDescent="0.25">
      <c r="CH1459" s="5"/>
    </row>
    <row r="1460" spans="86:86" x14ac:dyDescent="0.25">
      <c r="CH1460" s="5"/>
    </row>
    <row r="1461" spans="86:86" x14ac:dyDescent="0.25">
      <c r="CH1461" s="5"/>
    </row>
    <row r="1462" spans="86:86" x14ac:dyDescent="0.25">
      <c r="CH1462" s="5"/>
    </row>
    <row r="1463" spans="86:86" x14ac:dyDescent="0.25">
      <c r="CH1463" s="5"/>
    </row>
    <row r="1464" spans="86:86" x14ac:dyDescent="0.25">
      <c r="CH1464" s="5"/>
    </row>
    <row r="1465" spans="86:86" x14ac:dyDescent="0.25">
      <c r="CH1465" s="5"/>
    </row>
    <row r="1466" spans="86:86" x14ac:dyDescent="0.25">
      <c r="CH1466" s="5"/>
    </row>
    <row r="1467" spans="86:86" x14ac:dyDescent="0.25">
      <c r="CH1467" s="5"/>
    </row>
    <row r="1468" spans="86:86" x14ac:dyDescent="0.25">
      <c r="CH1468" s="5"/>
    </row>
    <row r="1469" spans="86:86" x14ac:dyDescent="0.25">
      <c r="CH1469" s="5"/>
    </row>
    <row r="1470" spans="86:86" x14ac:dyDescent="0.25">
      <c r="CH1470" s="5"/>
    </row>
    <row r="1471" spans="86:86" x14ac:dyDescent="0.25">
      <c r="CH1471" s="5"/>
    </row>
    <row r="1472" spans="86:86" x14ac:dyDescent="0.25">
      <c r="CH1472" s="5"/>
    </row>
    <row r="1473" spans="86:86" x14ac:dyDescent="0.25">
      <c r="CH1473" s="5"/>
    </row>
    <row r="1474" spans="86:86" x14ac:dyDescent="0.25">
      <c r="CH1474" s="5"/>
    </row>
    <row r="1475" spans="86:86" x14ac:dyDescent="0.25">
      <c r="CH1475" s="5"/>
    </row>
    <row r="1476" spans="86:86" x14ac:dyDescent="0.25">
      <c r="CH1476" s="5"/>
    </row>
    <row r="1477" spans="86:86" x14ac:dyDescent="0.25">
      <c r="CH1477" s="5"/>
    </row>
    <row r="1478" spans="86:86" x14ac:dyDescent="0.25">
      <c r="CH1478" s="5"/>
    </row>
    <row r="1479" spans="86:86" x14ac:dyDescent="0.25">
      <c r="CH1479" s="5"/>
    </row>
    <row r="1480" spans="86:86" x14ac:dyDescent="0.25">
      <c r="CH1480" s="5"/>
    </row>
    <row r="1481" spans="86:86" x14ac:dyDescent="0.25">
      <c r="CH1481" s="5"/>
    </row>
    <row r="1482" spans="86:86" x14ac:dyDescent="0.25">
      <c r="CH1482" s="5"/>
    </row>
    <row r="1483" spans="86:86" x14ac:dyDescent="0.25">
      <c r="CH1483" s="5"/>
    </row>
    <row r="1484" spans="86:86" x14ac:dyDescent="0.25">
      <c r="CH1484" s="5"/>
    </row>
    <row r="1485" spans="86:86" x14ac:dyDescent="0.25">
      <c r="CH1485" s="5"/>
    </row>
    <row r="1486" spans="86:86" x14ac:dyDescent="0.25">
      <c r="CH1486" s="5"/>
    </row>
    <row r="1487" spans="86:86" x14ac:dyDescent="0.25">
      <c r="CH1487" s="5"/>
    </row>
    <row r="1488" spans="86:86" x14ac:dyDescent="0.25">
      <c r="CH1488" s="5"/>
    </row>
    <row r="1489" spans="86:86" x14ac:dyDescent="0.25">
      <c r="CH1489" s="5"/>
    </row>
    <row r="1490" spans="86:86" x14ac:dyDescent="0.25">
      <c r="CH1490" s="5"/>
    </row>
    <row r="1491" spans="86:86" x14ac:dyDescent="0.25">
      <c r="CH1491" s="5"/>
    </row>
    <row r="1492" spans="86:86" x14ac:dyDescent="0.25">
      <c r="CH1492" s="5"/>
    </row>
    <row r="1493" spans="86:86" x14ac:dyDescent="0.25">
      <c r="CH1493" s="5"/>
    </row>
    <row r="1494" spans="86:86" x14ac:dyDescent="0.25">
      <c r="CH1494" s="5"/>
    </row>
    <row r="1511" spans="5:12" x14ac:dyDescent="0.25">
      <c r="E1511" s="70"/>
      <c r="F1511" s="70"/>
      <c r="G1511" s="70"/>
      <c r="H1511" s="70"/>
      <c r="I1511" s="70"/>
      <c r="J1511" s="70"/>
      <c r="K1511" s="70"/>
      <c r="L1511" s="70"/>
    </row>
  </sheetData>
  <mergeCells count="36">
    <mergeCell ref="C35:D35"/>
    <mergeCell ref="C36:D36"/>
    <mergeCell ref="C37:D37"/>
    <mergeCell ref="E27:L27"/>
    <mergeCell ref="B28:B29"/>
    <mergeCell ref="E28:L28"/>
    <mergeCell ref="C29:D29"/>
    <mergeCell ref="C33:D33"/>
    <mergeCell ref="C34:D34"/>
    <mergeCell ref="B27:D27"/>
    <mergeCell ref="C32:D32"/>
    <mergeCell ref="B14:D14"/>
    <mergeCell ref="B15:D15"/>
    <mergeCell ref="B16:D16"/>
    <mergeCell ref="E16:L16"/>
    <mergeCell ref="B17:B18"/>
    <mergeCell ref="E17:L17"/>
    <mergeCell ref="C18:D18"/>
    <mergeCell ref="A1:M4"/>
    <mergeCell ref="B13:D13"/>
    <mergeCell ref="B9:L9"/>
    <mergeCell ref="B10:D10"/>
    <mergeCell ref="E10:L10"/>
    <mergeCell ref="B11:D11"/>
    <mergeCell ref="E11:L11"/>
    <mergeCell ref="B12:D12"/>
    <mergeCell ref="C20:D20"/>
    <mergeCell ref="C21:D21"/>
    <mergeCell ref="C19:D19"/>
    <mergeCell ref="C30:D30"/>
    <mergeCell ref="C31:D31"/>
    <mergeCell ref="C22:D22"/>
    <mergeCell ref="C23:D23"/>
    <mergeCell ref="C24:D24"/>
    <mergeCell ref="C25:D25"/>
    <mergeCell ref="C26:D26"/>
  </mergeCells>
  <pageMargins left="0.75" right="0.75" top="1" bottom="1" header="0.5" footer="0.5"/>
  <pageSetup scale="6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44"/>
  <sheetViews>
    <sheetView showGridLines="0" topLeftCell="A4" workbookViewId="0">
      <selection activeCell="D7" sqref="D7"/>
    </sheetView>
  </sheetViews>
  <sheetFormatPr defaultRowHeight="12.75" x14ac:dyDescent="0.2"/>
  <cols>
    <col min="1" max="3" width="9.140625" style="120"/>
    <col min="4" max="12" width="9.140625" style="120" customWidth="1"/>
    <col min="13" max="16384" width="9.140625" style="120"/>
  </cols>
  <sheetData>
    <row r="1" spans="1:25" ht="20.100000000000001" customHeight="1" x14ac:dyDescent="0.2">
      <c r="A1" s="546" t="s">
        <v>116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7"/>
      <c r="W1" s="547"/>
      <c r="X1" s="547"/>
      <c r="Y1" s="547"/>
    </row>
    <row r="2" spans="1:25" ht="20.100000000000001" customHeight="1" x14ac:dyDescent="0.2">
      <c r="A2" s="546"/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7"/>
      <c r="W2" s="547"/>
      <c r="X2" s="547"/>
      <c r="Y2" s="547"/>
    </row>
    <row r="3" spans="1:25" ht="20.100000000000001" customHeight="1" thickBot="1" x14ac:dyDescent="0.25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</row>
    <row r="4" spans="1:25" ht="20.100000000000001" customHeight="1" x14ac:dyDescent="0.2">
      <c r="A4" s="121"/>
      <c r="B4" s="121"/>
      <c r="C4" s="121"/>
      <c r="D4" s="548" t="s">
        <v>170</v>
      </c>
      <c r="E4" s="549"/>
      <c r="F4" s="549"/>
      <c r="G4" s="549"/>
      <c r="H4" s="549"/>
      <c r="I4" s="549"/>
      <c r="J4" s="549"/>
      <c r="K4" s="549"/>
      <c r="L4" s="550"/>
      <c r="M4" s="548" t="s">
        <v>117</v>
      </c>
      <c r="N4" s="549"/>
      <c r="O4" s="549"/>
      <c r="P4" s="549"/>
      <c r="Q4" s="549"/>
      <c r="R4" s="549"/>
      <c r="S4" s="549"/>
      <c r="T4" s="550"/>
      <c r="U4" s="121"/>
      <c r="V4" s="121"/>
    </row>
    <row r="5" spans="1:25" ht="20.100000000000001" customHeight="1" thickBot="1" x14ac:dyDescent="0.25">
      <c r="A5" s="121"/>
      <c r="B5" s="121"/>
      <c r="C5" s="121"/>
      <c r="D5" s="551"/>
      <c r="E5" s="552"/>
      <c r="F5" s="552"/>
      <c r="G5" s="552"/>
      <c r="H5" s="552"/>
      <c r="I5" s="552"/>
      <c r="J5" s="552"/>
      <c r="K5" s="552"/>
      <c r="L5" s="553"/>
      <c r="M5" s="551"/>
      <c r="N5" s="552"/>
      <c r="O5" s="552"/>
      <c r="P5" s="552"/>
      <c r="Q5" s="552"/>
      <c r="R5" s="552"/>
      <c r="S5" s="552"/>
      <c r="T5" s="553"/>
      <c r="U5" s="121"/>
      <c r="V5" s="121"/>
    </row>
    <row r="6" spans="1:25" ht="20.100000000000001" customHeight="1" thickBot="1" x14ac:dyDescent="0.25">
      <c r="A6" s="121"/>
      <c r="B6" s="122" t="s">
        <v>118</v>
      </c>
      <c r="C6" s="122" t="s">
        <v>119</v>
      </c>
      <c r="D6" s="122">
        <v>10</v>
      </c>
      <c r="E6" s="122">
        <v>15</v>
      </c>
      <c r="F6" s="122">
        <v>25</v>
      </c>
      <c r="G6" s="122">
        <v>37.5</v>
      </c>
      <c r="H6" s="122">
        <v>50</v>
      </c>
      <c r="I6" s="122">
        <v>75</v>
      </c>
      <c r="J6" s="122">
        <v>100</v>
      </c>
      <c r="K6" s="269">
        <v>167</v>
      </c>
      <c r="L6" s="122" t="s">
        <v>184</v>
      </c>
      <c r="M6" s="122" t="s">
        <v>54</v>
      </c>
      <c r="N6" s="122" t="s">
        <v>56</v>
      </c>
      <c r="O6" s="122" t="s">
        <v>57</v>
      </c>
      <c r="P6" s="122" t="s">
        <v>58</v>
      </c>
      <c r="Q6" s="122" t="s">
        <v>60</v>
      </c>
      <c r="R6" s="122" t="s">
        <v>61</v>
      </c>
      <c r="S6" s="122" t="s">
        <v>63</v>
      </c>
      <c r="T6" s="122" t="s">
        <v>67</v>
      </c>
      <c r="U6" s="121"/>
      <c r="V6" s="121"/>
    </row>
    <row r="7" spans="1:25" ht="20.100000000000001" customHeight="1" x14ac:dyDescent="0.2">
      <c r="A7" s="121"/>
      <c r="B7" s="123">
        <v>1</v>
      </c>
      <c r="C7" s="248">
        <v>35</v>
      </c>
      <c r="D7" s="251">
        <f>$C7/((D$6/(HLOOKUP(D$6,'Step 2 - Transformer Sizing'!$O$5:$V$11,7,TRUE)*'Step 2 - Transformer Sizing'!$Y$4)))</f>
        <v>1.7609035322810846</v>
      </c>
      <c r="E7" s="243">
        <f>$C7/((E$6/(HLOOKUP(E$6,'Step 2 - Transformer Sizing'!$O$5:$V$11,7,TRUE)*'Step 2 - Transformer Sizing'!$Y$4)))</f>
        <v>1.0637839464488181</v>
      </c>
      <c r="F7" s="243">
        <f>$C7/((F$6/(HLOOKUP(F$6,'Step 2 - Transformer Sizing'!$O$5:$V$11,7,TRUE)*'Step 2 - Transformer Sizing'!$Y$4)))</f>
        <v>0.6091924584143249</v>
      </c>
      <c r="G7" s="243">
        <f>$C7/((G$6/(HLOOKUP(G$6,'Step 2 - Transformer Sizing'!$O$5:$V$11,7,TRUE)*'Step 2 - Transformer Sizing'!$Y$4)))</f>
        <v>0.40229916487056683</v>
      </c>
      <c r="H7" s="243">
        <f>$C7/((H$6/(HLOOKUP(H$6,'Step 2 - Transformer Sizing'!$O$5:$V$11,7,TRUE)*'Step 2 - Transformer Sizing'!$Y$4)))</f>
        <v>0.28315711431798585</v>
      </c>
      <c r="I7" s="243">
        <f>$C7/((I$6/(HLOOKUP(I$6,'Step 2 - Transformer Sizing'!$O$5:$V$11,7,TRUE)*'Step 2 - Transformer Sizing'!$Y$4)))</f>
        <v>0.17801226939611653</v>
      </c>
      <c r="J7" s="243">
        <f>$C7/((J$6/(HLOOKUP(J$6,'Step 2 - Transformer Sizing'!$O$5:$V$11,7,TRUE)*'Step 2 - Transformer Sizing'!$Y$4)))</f>
        <v>0.1501446062227271</v>
      </c>
      <c r="K7" s="244">
        <f>$C7/((K$6/(HLOOKUP(K$6,'Step 2 - Transformer Sizing'!$O$5:$V$11,7,TRUE)*'Step 2 - Transformer Sizing'!$Y$4)))</f>
        <v>9.7827974015615812E-2</v>
      </c>
      <c r="L7" s="270" t="e">
        <f>$C7/('Step 2 - Transformer Sizing'!$AA$8/('Step 2 - Transformer Sizing'!$P$17*'Step 2 - Transformer Sizing'!$Y$4))</f>
        <v>#DIV/0!</v>
      </c>
      <c r="M7" s="227">
        <v>1.3</v>
      </c>
      <c r="N7" s="125">
        <v>0.83</v>
      </c>
      <c r="O7" s="125">
        <v>0.54</v>
      </c>
      <c r="P7" s="125">
        <v>0.28999999999999998</v>
      </c>
      <c r="Q7" s="125">
        <v>0.44</v>
      </c>
      <c r="R7" s="125">
        <v>0.28999999999999998</v>
      </c>
      <c r="S7" s="125">
        <v>0.19</v>
      </c>
      <c r="T7" s="126">
        <v>0.15</v>
      </c>
      <c r="U7" s="121"/>
      <c r="V7" s="121"/>
    </row>
    <row r="8" spans="1:25" ht="20.100000000000001" customHeight="1" x14ac:dyDescent="0.2">
      <c r="A8" s="121"/>
      <c r="B8" s="127">
        <v>1.5</v>
      </c>
      <c r="C8" s="249">
        <v>48</v>
      </c>
      <c r="D8" s="252">
        <f>$C8/((D$6/(HLOOKUP(D$6,'Step 2 - Transformer Sizing'!$O$5:$V$11,7,TRUE)*'Step 2 - Transformer Sizing'!$Y$4)))</f>
        <v>2.4149534156997734</v>
      </c>
      <c r="E8" s="243">
        <f>$C8/((E$6/(HLOOKUP(E$6,'Step 2 - Transformer Sizing'!$O$5:$V$11,7,TRUE)*'Step 2 - Transformer Sizing'!$Y$4)))</f>
        <v>1.4589036979869507</v>
      </c>
      <c r="F8" s="243">
        <f>$C8/((F$6/(HLOOKUP(F$6,'Step 2 - Transformer Sizing'!$O$5:$V$11,7,TRUE)*'Step 2 - Transformer Sizing'!$Y$4)))</f>
        <v>0.83546394296821691</v>
      </c>
      <c r="G8" s="243">
        <f>$C8/((G$6/(HLOOKUP(G$6,'Step 2 - Transformer Sizing'!$O$5:$V$11,7,TRUE)*'Step 2 - Transformer Sizing'!$Y$4)))</f>
        <v>0.55172456896534883</v>
      </c>
      <c r="H8" s="243">
        <f>$C8/((H$6/(HLOOKUP(H$6,'Step 2 - Transformer Sizing'!$O$5:$V$11,7,TRUE)*'Step 2 - Transformer Sizing'!$Y$4)))</f>
        <v>0.38832975677895198</v>
      </c>
      <c r="I8" s="243">
        <f>$C8/((I$6/(HLOOKUP(I$6,'Step 2 - Transformer Sizing'!$O$5:$V$11,7,TRUE)*'Step 2 - Transformer Sizing'!$Y$4)))</f>
        <v>0.2441311123146741</v>
      </c>
      <c r="J8" s="243">
        <f>$C8/((J$6/(HLOOKUP(J$6,'Step 2 - Transformer Sizing'!$O$5:$V$11,7,TRUE)*'Step 2 - Transformer Sizing'!$Y$4)))</f>
        <v>0.20591260281974</v>
      </c>
      <c r="K8" s="244">
        <f>$C8/((K$6/(HLOOKUP(K$6,'Step 2 - Transformer Sizing'!$O$5:$V$11,7,TRUE)*'Step 2 - Transformer Sizing'!$Y$4)))</f>
        <v>0.13416407864998739</v>
      </c>
      <c r="L8" s="270" t="e">
        <f>$C8/('Step 2 - Transformer Sizing'!$AA$8/('Step 2 - Transformer Sizing'!$P$17*'Step 2 - Transformer Sizing'!$Y$4))</f>
        <v>#DIV/0!</v>
      </c>
      <c r="M8" s="228">
        <v>1.78</v>
      </c>
      <c r="N8" s="129">
        <v>1.1399999999999999</v>
      </c>
      <c r="O8" s="129">
        <v>0.74</v>
      </c>
      <c r="P8" s="129">
        <v>0.39</v>
      </c>
      <c r="Q8" s="129">
        <v>0.6</v>
      </c>
      <c r="R8" s="129">
        <v>0.4</v>
      </c>
      <c r="S8" s="129">
        <v>0.26</v>
      </c>
      <c r="T8" s="130">
        <v>0.2</v>
      </c>
      <c r="U8" s="121"/>
      <c r="V8" s="121"/>
    </row>
    <row r="9" spans="1:25" ht="20.100000000000001" customHeight="1" x14ac:dyDescent="0.2">
      <c r="A9" s="121"/>
      <c r="B9" s="127">
        <v>2</v>
      </c>
      <c r="C9" s="249">
        <v>61</v>
      </c>
      <c r="D9" s="252">
        <f>$C9/((D$6/(HLOOKUP(D$6,'Step 2 - Transformer Sizing'!$O$5:$V$11,7,TRUE)*'Step 2 - Transformer Sizing'!$Y$4)))</f>
        <v>3.0690032991184619</v>
      </c>
      <c r="E9" s="243">
        <f>$C9/((E$6/(HLOOKUP(E$6,'Step 2 - Transformer Sizing'!$O$5:$V$11,7,TRUE)*'Step 2 - Transformer Sizing'!$Y$4)))</f>
        <v>1.8540234495250831</v>
      </c>
      <c r="F9" s="243">
        <f>$C9/((F$6/(HLOOKUP(F$6,'Step 2 - Transformer Sizing'!$O$5:$V$11,7,TRUE)*'Step 2 - Transformer Sizing'!$Y$4)))</f>
        <v>1.0617354275221091</v>
      </c>
      <c r="G9" s="243">
        <f>$C9/((G$6/(HLOOKUP(G$6,'Step 2 - Transformer Sizing'!$O$5:$V$11,7,TRUE)*'Step 2 - Transformer Sizing'!$Y$4)))</f>
        <v>0.70114997306013072</v>
      </c>
      <c r="H9" s="243">
        <f>$C9/((H$6/(HLOOKUP(H$6,'Step 2 - Transformer Sizing'!$O$5:$V$11,7,TRUE)*'Step 2 - Transformer Sizing'!$Y$4)))</f>
        <v>0.49350239923991812</v>
      </c>
      <c r="I9" s="243">
        <f>$C9/((I$6/(HLOOKUP(I$6,'Step 2 - Transformer Sizing'!$O$5:$V$11,7,TRUE)*'Step 2 - Transformer Sizing'!$Y$4)))</f>
        <v>0.31024995523323168</v>
      </c>
      <c r="J9" s="243">
        <f>$C9/((J$6/(HLOOKUP(J$6,'Step 2 - Transformer Sizing'!$O$5:$V$11,7,TRUE)*'Step 2 - Transformer Sizing'!$Y$4)))</f>
        <v>0.26168059941675292</v>
      </c>
      <c r="K9" s="244">
        <f>$C9/((K$6/(HLOOKUP(K$6,'Step 2 - Transformer Sizing'!$O$5:$V$11,7,TRUE)*'Step 2 - Transformer Sizing'!$Y$4)))</f>
        <v>0.17050018328435898</v>
      </c>
      <c r="L9" s="270" t="e">
        <f>$C9/('Step 2 - Transformer Sizing'!$AA$8/('Step 2 - Transformer Sizing'!$P$17*'Step 2 - Transformer Sizing'!$Y$4))</f>
        <v>#DIV/0!</v>
      </c>
      <c r="M9" s="228">
        <v>2.27</v>
      </c>
      <c r="N9" s="129">
        <v>1.45</v>
      </c>
      <c r="O9" s="129">
        <v>0.94</v>
      </c>
      <c r="P9" s="129">
        <v>0.5</v>
      </c>
      <c r="Q9" s="129">
        <v>0.77</v>
      </c>
      <c r="R9" s="129">
        <v>0.51</v>
      </c>
      <c r="S9" s="129">
        <v>0.34</v>
      </c>
      <c r="T9" s="130">
        <v>0.26</v>
      </c>
      <c r="U9" s="121"/>
      <c r="V9" s="121"/>
    </row>
    <row r="10" spans="1:25" ht="20.100000000000001" customHeight="1" x14ac:dyDescent="0.2">
      <c r="A10" s="121"/>
      <c r="B10" s="127">
        <v>2.5</v>
      </c>
      <c r="C10" s="249">
        <v>75</v>
      </c>
      <c r="D10" s="252">
        <f>$C10/((D$6/(HLOOKUP(D$6,'Step 2 - Transformer Sizing'!$O$5:$V$11,7,TRUE)*'Step 2 - Transformer Sizing'!$Y$4)))</f>
        <v>3.7733647120308955</v>
      </c>
      <c r="E10" s="243">
        <f>$C10/((E$6/(HLOOKUP(E$6,'Step 2 - Transformer Sizing'!$O$5:$V$11,7,TRUE)*'Step 2 - Transformer Sizing'!$Y$4)))</f>
        <v>2.2795370281046106</v>
      </c>
      <c r="F10" s="243">
        <f>$C10/((F$6/(HLOOKUP(F$6,'Step 2 - Transformer Sizing'!$O$5:$V$11,7,TRUE)*'Step 2 - Transformer Sizing'!$Y$4)))</f>
        <v>1.3054124108878389</v>
      </c>
      <c r="G10" s="243">
        <f>$C10/((G$6/(HLOOKUP(G$6,'Step 2 - Transformer Sizing'!$O$5:$V$11,7,TRUE)*'Step 2 - Transformer Sizing'!$Y$4)))</f>
        <v>0.86206963900835754</v>
      </c>
      <c r="H10" s="243">
        <f>$C10/((H$6/(HLOOKUP(H$6,'Step 2 - Transformer Sizing'!$O$5:$V$11,7,TRUE)*'Step 2 - Transformer Sizing'!$Y$4)))</f>
        <v>0.60676524496711248</v>
      </c>
      <c r="I10" s="243">
        <f>$C10/((I$6/(HLOOKUP(I$6,'Step 2 - Transformer Sizing'!$O$5:$V$11,7,TRUE)*'Step 2 - Transformer Sizing'!$Y$4)))</f>
        <v>0.3814548629916783</v>
      </c>
      <c r="J10" s="243">
        <f>$C10/((J$6/(HLOOKUP(J$6,'Step 2 - Transformer Sizing'!$O$5:$V$11,7,TRUE)*'Step 2 - Transformer Sizing'!$Y$4)))</f>
        <v>0.32173844190584378</v>
      </c>
      <c r="K10" s="244">
        <f>$C10/((K$6/(HLOOKUP(K$6,'Step 2 - Transformer Sizing'!$O$5:$V$11,7,TRUE)*'Step 2 - Transformer Sizing'!$Y$4)))</f>
        <v>0.20963137289060529</v>
      </c>
      <c r="L10" s="270" t="e">
        <f>$C10/('Step 2 - Transformer Sizing'!$AA$8/('Step 2 - Transformer Sizing'!$P$17*'Step 2 - Transformer Sizing'!$Y$4))</f>
        <v>#DIV/0!</v>
      </c>
      <c r="M10" s="228">
        <v>2.78</v>
      </c>
      <c r="N10" s="129">
        <v>1.78</v>
      </c>
      <c r="O10" s="129">
        <v>1.1599999999999999</v>
      </c>
      <c r="P10" s="129">
        <v>0.61</v>
      </c>
      <c r="Q10" s="129">
        <v>0.94</v>
      </c>
      <c r="R10" s="129">
        <v>0.62</v>
      </c>
      <c r="S10" s="129">
        <v>0.41</v>
      </c>
      <c r="T10" s="130">
        <v>0.31</v>
      </c>
      <c r="U10" s="121"/>
      <c r="V10" s="121"/>
    </row>
    <row r="11" spans="1:25" ht="20.100000000000001" customHeight="1" x14ac:dyDescent="0.2">
      <c r="A11" s="121"/>
      <c r="B11" s="127">
        <v>3</v>
      </c>
      <c r="C11" s="249">
        <v>86</v>
      </c>
      <c r="D11" s="252">
        <f>$C11/((D$6/(HLOOKUP(D$6,'Step 2 - Transformer Sizing'!$O$5:$V$11,7,TRUE)*'Step 2 - Transformer Sizing'!$Y$4)))</f>
        <v>4.3267915364620935</v>
      </c>
      <c r="E11" s="243">
        <f>$C11/((E$6/(HLOOKUP(E$6,'Step 2 - Transformer Sizing'!$O$5:$V$11,7,TRUE)*'Step 2 - Transformer Sizing'!$Y$4)))</f>
        <v>2.6138691255599533</v>
      </c>
      <c r="F11" s="243">
        <f>$C11/((F$6/(HLOOKUP(F$6,'Step 2 - Transformer Sizing'!$O$5:$V$11,7,TRUE)*'Step 2 - Transformer Sizing'!$Y$4)))</f>
        <v>1.4968728978180554</v>
      </c>
      <c r="G11" s="243">
        <f>$C11/((G$6/(HLOOKUP(G$6,'Step 2 - Transformer Sizing'!$O$5:$V$11,7,TRUE)*'Step 2 - Transformer Sizing'!$Y$4)))</f>
        <v>0.98850651939624989</v>
      </c>
      <c r="H11" s="243">
        <f>$C11/((H$6/(HLOOKUP(H$6,'Step 2 - Transformer Sizing'!$O$5:$V$11,7,TRUE)*'Step 2 - Transformer Sizing'!$Y$4)))</f>
        <v>0.69575748089562228</v>
      </c>
      <c r="I11" s="243">
        <f>$C11/((I$6/(HLOOKUP(I$6,'Step 2 - Transformer Sizing'!$O$5:$V$11,7,TRUE)*'Step 2 - Transformer Sizing'!$Y$4)))</f>
        <v>0.43740157623045778</v>
      </c>
      <c r="J11" s="243">
        <f>$C11/((J$6/(HLOOKUP(J$6,'Step 2 - Transformer Sizing'!$O$5:$V$11,7,TRUE)*'Step 2 - Transformer Sizing'!$Y$4)))</f>
        <v>0.36892674671870085</v>
      </c>
      <c r="K11" s="244">
        <f>$C11/((K$6/(HLOOKUP(K$6,'Step 2 - Transformer Sizing'!$O$5:$V$11,7,TRUE)*'Step 2 - Transformer Sizing'!$Y$4)))</f>
        <v>0.24037730758122741</v>
      </c>
      <c r="L11" s="270" t="e">
        <f>$C11/('Step 2 - Transformer Sizing'!$AA$8/('Step 2 - Transformer Sizing'!$P$17*'Step 2 - Transformer Sizing'!$Y$4))</f>
        <v>#DIV/0!</v>
      </c>
      <c r="M11" s="228">
        <v>3.19</v>
      </c>
      <c r="N11" s="129">
        <v>2.04</v>
      </c>
      <c r="O11" s="129">
        <v>1.33</v>
      </c>
      <c r="P11" s="129">
        <v>0.7</v>
      </c>
      <c r="Q11" s="129">
        <v>1.08</v>
      </c>
      <c r="R11" s="129">
        <v>0.71</v>
      </c>
      <c r="S11" s="129">
        <v>0.47</v>
      </c>
      <c r="T11" s="130">
        <v>0.36</v>
      </c>
      <c r="U11" s="121"/>
      <c r="V11" s="121"/>
    </row>
    <row r="12" spans="1:25" ht="20.100000000000001" customHeight="1" x14ac:dyDescent="0.2">
      <c r="A12" s="121"/>
      <c r="B12" s="127">
        <v>3.5</v>
      </c>
      <c r="C12" s="249">
        <v>97</v>
      </c>
      <c r="D12" s="252">
        <f>$C12/((D$6/(HLOOKUP(D$6,'Step 2 - Transformer Sizing'!$O$5:$V$11,7,TRUE)*'Step 2 - Transformer Sizing'!$Y$4)))</f>
        <v>4.8802183608932914</v>
      </c>
      <c r="E12" s="243">
        <f>$C12/((E$6/(HLOOKUP(E$6,'Step 2 - Transformer Sizing'!$O$5:$V$11,7,TRUE)*'Step 2 - Transformer Sizing'!$Y$4)))</f>
        <v>2.9482012230152961</v>
      </c>
      <c r="F12" s="243">
        <f>$C12/((F$6/(HLOOKUP(F$6,'Step 2 - Transformer Sizing'!$O$5:$V$11,7,TRUE)*'Step 2 - Transformer Sizing'!$Y$4)))</f>
        <v>1.6883333847482718</v>
      </c>
      <c r="G12" s="243">
        <f>$C12/((G$6/(HLOOKUP(G$6,'Step 2 - Transformer Sizing'!$O$5:$V$11,7,TRUE)*'Step 2 - Transformer Sizing'!$Y$4)))</f>
        <v>1.1149433997841423</v>
      </c>
      <c r="H12" s="243">
        <f>$C12/((H$6/(HLOOKUP(H$6,'Step 2 - Transformer Sizing'!$O$5:$V$11,7,TRUE)*'Step 2 - Transformer Sizing'!$Y$4)))</f>
        <v>0.78474971682413208</v>
      </c>
      <c r="I12" s="243">
        <f>$C12/((I$6/(HLOOKUP(I$6,'Step 2 - Transformer Sizing'!$O$5:$V$11,7,TRUE)*'Step 2 - Transformer Sizing'!$Y$4)))</f>
        <v>0.49334828946923726</v>
      </c>
      <c r="J12" s="243">
        <f>$C12/((J$6/(HLOOKUP(J$6,'Step 2 - Transformer Sizing'!$O$5:$V$11,7,TRUE)*'Step 2 - Transformer Sizing'!$Y$4)))</f>
        <v>0.41611505153155792</v>
      </c>
      <c r="K12" s="244">
        <f>$C12/((K$6/(HLOOKUP(K$6,'Step 2 - Transformer Sizing'!$O$5:$V$11,7,TRUE)*'Step 2 - Transformer Sizing'!$Y$4)))</f>
        <v>0.27112324227184953</v>
      </c>
      <c r="L12" s="270" t="e">
        <f>$C12/('Step 2 - Transformer Sizing'!$AA$8/('Step 2 - Transformer Sizing'!$P$17*'Step 2 - Transformer Sizing'!$Y$4))</f>
        <v>#DIV/0!</v>
      </c>
      <c r="M12" s="228">
        <v>3.6</v>
      </c>
      <c r="N12" s="129">
        <v>2.2999999999999998</v>
      </c>
      <c r="O12" s="129">
        <v>1.49</v>
      </c>
      <c r="P12" s="129">
        <v>0.79</v>
      </c>
      <c r="Q12" s="129">
        <v>1.22</v>
      </c>
      <c r="R12" s="129">
        <v>0.81</v>
      </c>
      <c r="S12" s="129">
        <v>0.53</v>
      </c>
      <c r="T12" s="130">
        <v>0.41</v>
      </c>
      <c r="U12" s="121"/>
      <c r="V12" s="121"/>
    </row>
    <row r="13" spans="1:25" ht="20.100000000000001" customHeight="1" x14ac:dyDescent="0.2">
      <c r="A13" s="121"/>
      <c r="B13" s="127">
        <v>4</v>
      </c>
      <c r="C13" s="249">
        <v>118</v>
      </c>
      <c r="D13" s="252">
        <f>$C13/((D$6/(HLOOKUP(D$6,'Step 2 - Transformer Sizing'!$O$5:$V$11,7,TRUE)*'Step 2 - Transformer Sizing'!$Y$4)))</f>
        <v>5.9367604802619427</v>
      </c>
      <c r="E13" s="243">
        <f>$C13/((E$6/(HLOOKUP(E$6,'Step 2 - Transformer Sizing'!$O$5:$V$11,7,TRUE)*'Step 2 - Transformer Sizing'!$Y$4)))</f>
        <v>3.586471590884587</v>
      </c>
      <c r="F13" s="243">
        <f>$C13/((F$6/(HLOOKUP(F$6,'Step 2 - Transformer Sizing'!$O$5:$V$11,7,TRUE)*'Step 2 - Transformer Sizing'!$Y$4)))</f>
        <v>2.0538488597968665</v>
      </c>
      <c r="G13" s="243">
        <f>$C13/((G$6/(HLOOKUP(G$6,'Step 2 - Transformer Sizing'!$O$5:$V$11,7,TRUE)*'Step 2 - Transformer Sizing'!$Y$4)))</f>
        <v>1.3563228987064824</v>
      </c>
      <c r="H13" s="243">
        <f>$C13/((H$6/(HLOOKUP(H$6,'Step 2 - Transformer Sizing'!$O$5:$V$11,7,TRUE)*'Step 2 - Transformer Sizing'!$Y$4)))</f>
        <v>0.95464398541492368</v>
      </c>
      <c r="I13" s="243">
        <f>$C13/((I$6/(HLOOKUP(I$6,'Step 2 - Transformer Sizing'!$O$5:$V$11,7,TRUE)*'Step 2 - Transformer Sizing'!$Y$4)))</f>
        <v>0.60015565110690716</v>
      </c>
      <c r="J13" s="243">
        <f>$C13/((J$6/(HLOOKUP(J$6,'Step 2 - Transformer Sizing'!$O$5:$V$11,7,TRUE)*'Step 2 - Transformer Sizing'!$Y$4)))</f>
        <v>0.50620181526519414</v>
      </c>
      <c r="K13" s="244">
        <f>$C13/((K$6/(HLOOKUP(K$6,'Step 2 - Transformer Sizing'!$O$5:$V$11,7,TRUE)*'Step 2 - Transformer Sizing'!$Y$4)))</f>
        <v>0.32982002668121901</v>
      </c>
      <c r="L13" s="270" t="e">
        <f>$C13/('Step 2 - Transformer Sizing'!$AA$8/('Step 2 - Transformer Sizing'!$P$17*'Step 2 - Transformer Sizing'!$Y$4))</f>
        <v>#DIV/0!</v>
      </c>
      <c r="M13" s="228">
        <v>4.38</v>
      </c>
      <c r="N13" s="129">
        <v>2.8</v>
      </c>
      <c r="O13" s="129">
        <v>1.82</v>
      </c>
      <c r="P13" s="129">
        <v>0.96</v>
      </c>
      <c r="Q13" s="129">
        <v>1.48</v>
      </c>
      <c r="R13" s="129">
        <v>0.98</v>
      </c>
      <c r="S13" s="129">
        <v>0.65</v>
      </c>
      <c r="T13" s="130">
        <v>0.49</v>
      </c>
      <c r="U13" s="121"/>
      <c r="V13" s="121"/>
    </row>
    <row r="14" spans="1:25" ht="20.100000000000001" customHeight="1" thickBot="1" x14ac:dyDescent="0.25">
      <c r="A14" s="121"/>
      <c r="B14" s="131">
        <v>5</v>
      </c>
      <c r="C14" s="250">
        <v>140</v>
      </c>
      <c r="D14" s="253">
        <f>$C14/((D$6/(HLOOKUP(D$6,'Step 2 - Transformer Sizing'!$O$5:$V$11,7,TRUE)*'Step 2 - Transformer Sizing'!$Y$4)))</f>
        <v>7.0436141291243386</v>
      </c>
      <c r="E14" s="245">
        <f>$C14/((E$6/(HLOOKUP(E$6,'Step 2 - Transformer Sizing'!$O$5:$V$11,7,TRUE)*'Step 2 - Transformer Sizing'!$Y$4)))</f>
        <v>4.2551357857952725</v>
      </c>
      <c r="F14" s="245">
        <f>$C14/((F$6/(HLOOKUP(F$6,'Step 2 - Transformer Sizing'!$O$5:$V$11,7,TRUE)*'Step 2 - Transformer Sizing'!$Y$4)))</f>
        <v>2.4367698336572996</v>
      </c>
      <c r="G14" s="245">
        <f>$C14/((G$6/(HLOOKUP(G$6,'Step 2 - Transformer Sizing'!$O$5:$V$11,7,TRUE)*'Step 2 - Transformer Sizing'!$Y$4)))</f>
        <v>1.6091966594822673</v>
      </c>
      <c r="H14" s="245">
        <f>$C14/((H$6/(HLOOKUP(H$6,'Step 2 - Transformer Sizing'!$O$5:$V$11,7,TRUE)*'Step 2 - Transformer Sizing'!$Y$4)))</f>
        <v>1.1326284572719434</v>
      </c>
      <c r="I14" s="245">
        <f>$C14/((I$6/(HLOOKUP(I$6,'Step 2 - Transformer Sizing'!$O$5:$V$11,7,TRUE)*'Step 2 - Transformer Sizing'!$Y$4)))</f>
        <v>0.71204907758446612</v>
      </c>
      <c r="J14" s="245">
        <f>$C14/((J$6/(HLOOKUP(J$6,'Step 2 - Transformer Sizing'!$O$5:$V$11,7,TRUE)*'Step 2 - Transformer Sizing'!$Y$4)))</f>
        <v>0.6005784248909084</v>
      </c>
      <c r="K14" s="246">
        <f>$C14/((K$6/(HLOOKUP(K$6,'Step 2 - Transformer Sizing'!$O$5:$V$11,7,TRUE)*'Step 2 - Transformer Sizing'!$Y$4)))</f>
        <v>0.39131189606246325</v>
      </c>
      <c r="L14" s="270" t="e">
        <f>$C14/('Step 2 - Transformer Sizing'!$AA$8/('Step 2 - Transformer Sizing'!$P$17*'Step 2 - Transformer Sizing'!$Y$4))</f>
        <v>#DIV/0!</v>
      </c>
      <c r="M14" s="229">
        <v>5.2</v>
      </c>
      <c r="N14" s="133">
        <v>3.33</v>
      </c>
      <c r="O14" s="133">
        <v>2.16</v>
      </c>
      <c r="P14" s="133">
        <v>1.1399999999999999</v>
      </c>
      <c r="Q14" s="133">
        <v>1.76</v>
      </c>
      <c r="R14" s="133">
        <v>1.1599999999999999</v>
      </c>
      <c r="S14" s="133">
        <v>0.77</v>
      </c>
      <c r="T14" s="134">
        <v>0.59</v>
      </c>
      <c r="U14" s="121"/>
      <c r="V14" s="121"/>
    </row>
    <row r="15" spans="1:25" ht="20.100000000000001" customHeight="1" thickBot="1" x14ac:dyDescent="0.25">
      <c r="A15" s="135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</row>
    <row r="16" spans="1:25" ht="20.100000000000001" customHeight="1" x14ac:dyDescent="0.2">
      <c r="B16" s="121"/>
      <c r="C16" s="121"/>
      <c r="D16" s="548" t="s">
        <v>169</v>
      </c>
      <c r="E16" s="549"/>
      <c r="F16" s="549"/>
      <c r="G16" s="549"/>
      <c r="H16" s="549"/>
      <c r="I16" s="549"/>
      <c r="J16" s="549"/>
      <c r="K16" s="550"/>
      <c r="L16" s="264"/>
    </row>
    <row r="17" spans="2:12" ht="20.100000000000001" customHeight="1" thickBot="1" x14ac:dyDescent="0.25">
      <c r="B17" s="121"/>
      <c r="C17" s="121"/>
      <c r="D17" s="551"/>
      <c r="E17" s="552"/>
      <c r="F17" s="552"/>
      <c r="G17" s="552"/>
      <c r="H17" s="552"/>
      <c r="I17" s="552"/>
      <c r="J17" s="552"/>
      <c r="K17" s="553"/>
      <c r="L17" s="264"/>
    </row>
    <row r="18" spans="2:12" ht="20.100000000000001" customHeight="1" thickBot="1" x14ac:dyDescent="0.25">
      <c r="B18" s="122" t="s">
        <v>118</v>
      </c>
      <c r="C18" s="122" t="s">
        <v>119</v>
      </c>
      <c r="D18" s="122">
        <v>10</v>
      </c>
      <c r="E18" s="122">
        <v>15</v>
      </c>
      <c r="F18" s="122">
        <v>25</v>
      </c>
      <c r="G18" s="122">
        <v>37.5</v>
      </c>
      <c r="H18" s="122">
        <v>50</v>
      </c>
      <c r="I18" s="122">
        <v>75</v>
      </c>
      <c r="J18" s="122">
        <v>100</v>
      </c>
      <c r="K18" s="122">
        <v>167</v>
      </c>
      <c r="L18" s="267"/>
    </row>
    <row r="19" spans="2:12" ht="20.100000000000001" customHeight="1" x14ac:dyDescent="0.2">
      <c r="B19" s="123">
        <v>1</v>
      </c>
      <c r="C19" s="248">
        <v>35</v>
      </c>
      <c r="D19" s="254">
        <v>1.75</v>
      </c>
      <c r="E19" s="124">
        <v>1.06</v>
      </c>
      <c r="F19" s="125">
        <v>0.6</v>
      </c>
      <c r="G19" s="125">
        <v>0.39</v>
      </c>
      <c r="H19" s="125">
        <v>0.26</v>
      </c>
      <c r="I19" s="125">
        <v>0.16</v>
      </c>
      <c r="J19" s="125">
        <v>0.13</v>
      </c>
      <c r="K19" s="247">
        <v>0.08</v>
      </c>
      <c r="L19" s="268"/>
    </row>
    <row r="20" spans="2:12" ht="20.100000000000001" customHeight="1" x14ac:dyDescent="0.2">
      <c r="B20" s="127">
        <v>1.5</v>
      </c>
      <c r="C20" s="249">
        <v>48</v>
      </c>
      <c r="D20" s="127">
        <v>2.4</v>
      </c>
      <c r="E20" s="128">
        <v>1.46</v>
      </c>
      <c r="F20" s="129">
        <v>0.82</v>
      </c>
      <c r="G20" s="129">
        <v>0.53</v>
      </c>
      <c r="H20" s="129">
        <v>0.36</v>
      </c>
      <c r="I20" s="129">
        <v>0.22</v>
      </c>
      <c r="J20" s="129">
        <v>0.18</v>
      </c>
      <c r="K20" s="130">
        <v>0.11</v>
      </c>
      <c r="L20" s="268"/>
    </row>
    <row r="21" spans="2:12" ht="20.100000000000001" customHeight="1" x14ac:dyDescent="0.2">
      <c r="B21" s="127">
        <v>2</v>
      </c>
      <c r="C21" s="249">
        <v>61</v>
      </c>
      <c r="D21" s="127">
        <v>3.06</v>
      </c>
      <c r="E21" s="128">
        <v>1.85</v>
      </c>
      <c r="F21" s="129">
        <v>1.04</v>
      </c>
      <c r="G21" s="129">
        <v>0.68</v>
      </c>
      <c r="H21" s="129">
        <v>0.45</v>
      </c>
      <c r="I21" s="129">
        <v>0.28999999999999998</v>
      </c>
      <c r="J21" s="129">
        <v>0.23</v>
      </c>
      <c r="K21" s="130">
        <v>0.15</v>
      </c>
      <c r="L21" s="268"/>
    </row>
    <row r="22" spans="2:12" ht="20.100000000000001" customHeight="1" x14ac:dyDescent="0.2">
      <c r="B22" s="127">
        <v>2.5</v>
      </c>
      <c r="C22" s="249">
        <v>75</v>
      </c>
      <c r="D22" s="127">
        <v>3.76</v>
      </c>
      <c r="E22" s="128">
        <v>2.2799999999999998</v>
      </c>
      <c r="F22" s="129">
        <v>1.28</v>
      </c>
      <c r="G22" s="129">
        <v>0.83</v>
      </c>
      <c r="H22" s="129">
        <v>0.56000000000000005</v>
      </c>
      <c r="I22" s="129">
        <v>0.35</v>
      </c>
      <c r="J22" s="129">
        <v>0.28000000000000003</v>
      </c>
      <c r="K22" s="130">
        <v>0.18</v>
      </c>
      <c r="L22" s="268"/>
    </row>
    <row r="23" spans="2:12" ht="20.100000000000001" customHeight="1" x14ac:dyDescent="0.2">
      <c r="B23" s="127">
        <v>3</v>
      </c>
      <c r="C23" s="249">
        <v>86</v>
      </c>
      <c r="D23" s="127">
        <v>4.3099999999999996</v>
      </c>
      <c r="E23" s="128">
        <v>2.61</v>
      </c>
      <c r="F23" s="129">
        <v>1.47</v>
      </c>
      <c r="G23" s="129">
        <v>0.96</v>
      </c>
      <c r="H23" s="129">
        <v>0.64</v>
      </c>
      <c r="I23" s="129">
        <v>0.4</v>
      </c>
      <c r="J23" s="129">
        <v>0.32</v>
      </c>
      <c r="K23" s="130">
        <v>0.2</v>
      </c>
      <c r="L23" s="268"/>
    </row>
    <row r="24" spans="2:12" ht="20.100000000000001" customHeight="1" x14ac:dyDescent="0.2">
      <c r="B24" s="127">
        <v>3.5</v>
      </c>
      <c r="C24" s="249">
        <v>97</v>
      </c>
      <c r="D24" s="127">
        <v>4.8600000000000003</v>
      </c>
      <c r="E24" s="128">
        <v>2.94</v>
      </c>
      <c r="F24" s="129">
        <v>1.66</v>
      </c>
      <c r="G24" s="129">
        <v>1.08</v>
      </c>
      <c r="H24" s="129">
        <v>0.72</v>
      </c>
      <c r="I24" s="129">
        <v>0.45</v>
      </c>
      <c r="J24" s="129">
        <v>0.36</v>
      </c>
      <c r="K24" s="130">
        <v>0.23</v>
      </c>
      <c r="L24" s="268"/>
    </row>
    <row r="25" spans="2:12" ht="20.100000000000001" customHeight="1" x14ac:dyDescent="0.2">
      <c r="B25" s="127">
        <v>4</v>
      </c>
      <c r="C25" s="249">
        <v>118</v>
      </c>
      <c r="D25" s="127">
        <v>5.91</v>
      </c>
      <c r="E25" s="128">
        <v>3.58</v>
      </c>
      <c r="F25" s="129">
        <v>2.02</v>
      </c>
      <c r="G25" s="129">
        <v>1.31</v>
      </c>
      <c r="H25" s="129">
        <v>0.87</v>
      </c>
      <c r="I25" s="129">
        <v>0.55000000000000004</v>
      </c>
      <c r="J25" s="129">
        <v>0.44</v>
      </c>
      <c r="K25" s="130">
        <v>0.28000000000000003</v>
      </c>
      <c r="L25" s="268"/>
    </row>
    <row r="26" spans="2:12" ht="20.100000000000001" customHeight="1" thickBot="1" x14ac:dyDescent="0.25">
      <c r="B26" s="131">
        <v>5</v>
      </c>
      <c r="C26" s="250">
        <v>140</v>
      </c>
      <c r="D26" s="131">
        <v>7.01</v>
      </c>
      <c r="E26" s="132">
        <v>4.25</v>
      </c>
      <c r="F26" s="133">
        <v>2.4</v>
      </c>
      <c r="G26" s="133">
        <v>1.56</v>
      </c>
      <c r="H26" s="133">
        <v>1.04</v>
      </c>
      <c r="I26" s="133">
        <v>0.65</v>
      </c>
      <c r="J26" s="133">
        <v>0.52</v>
      </c>
      <c r="K26" s="134">
        <v>0.33</v>
      </c>
      <c r="L26" s="268"/>
    </row>
    <row r="27" spans="2:12" ht="20.100000000000001" customHeight="1" x14ac:dyDescent="0.2"/>
    <row r="28" spans="2:12" ht="20.100000000000001" customHeight="1" x14ac:dyDescent="0.2"/>
    <row r="29" spans="2:12" ht="20.100000000000001" customHeight="1" x14ac:dyDescent="0.2">
      <c r="D29" s="543" t="s">
        <v>156</v>
      </c>
      <c r="E29" s="544"/>
      <c r="F29" s="544"/>
      <c r="G29" s="544"/>
      <c r="H29" s="544"/>
      <c r="I29" s="545"/>
    </row>
    <row r="30" spans="2:12" ht="20.100000000000001" customHeight="1" x14ac:dyDescent="0.2"/>
    <row r="31" spans="2:12" ht="20.100000000000001" customHeight="1" x14ac:dyDescent="0.2"/>
    <row r="32" spans="2:1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</sheetData>
  <mergeCells count="6">
    <mergeCell ref="D29:I29"/>
    <mergeCell ref="A1:U3"/>
    <mergeCell ref="V1:Y2"/>
    <mergeCell ref="M4:T5"/>
    <mergeCell ref="D16:K17"/>
    <mergeCell ref="D4:L5"/>
  </mergeCells>
  <printOptions horizontalCentered="1"/>
  <pageMargins left="0" right="0" top="1" bottom="1" header="0.5" footer="0.5"/>
  <pageSetup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FF00"/>
  </sheetPr>
  <dimension ref="A1:S255"/>
  <sheetViews>
    <sheetView workbookViewId="0">
      <selection activeCell="J10" sqref="J10"/>
    </sheetView>
  </sheetViews>
  <sheetFormatPr defaultColWidth="9.140625" defaultRowHeight="12.75" x14ac:dyDescent="0.2"/>
  <cols>
    <col min="1" max="8" width="9.140625" style="76"/>
    <col min="9" max="9" width="9.140625" style="76" bestFit="1" customWidth="1"/>
    <col min="10" max="10" width="9.140625" style="76"/>
    <col min="11" max="11" width="12.5703125" style="76" customWidth="1"/>
    <col min="12" max="15" width="9.140625" style="76"/>
    <col min="16" max="16" width="10.42578125" style="76" bestFit="1" customWidth="1"/>
    <col min="17" max="17" width="11.5703125" style="76" bestFit="1" customWidth="1"/>
    <col min="18" max="19" width="10.42578125" style="76" bestFit="1" customWidth="1"/>
    <col min="20" max="28" width="10.28515625" style="76" bestFit="1" customWidth="1"/>
    <col min="29" max="16384" width="9.140625" style="76"/>
  </cols>
  <sheetData>
    <row r="1" spans="1:19" ht="18" x14ac:dyDescent="0.25">
      <c r="A1" s="100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9" ht="18" x14ac:dyDescent="0.25">
      <c r="A2" s="100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9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9" ht="19.5" x14ac:dyDescent="0.25">
      <c r="A4" s="98"/>
      <c r="B4" s="98"/>
      <c r="C4" s="98"/>
      <c r="D4" s="99" t="s">
        <v>107</v>
      </c>
      <c r="E4" s="98"/>
      <c r="F4" s="98"/>
      <c r="G4" s="98"/>
      <c r="H4" s="98"/>
      <c r="I4" s="98"/>
      <c r="J4" s="98"/>
      <c r="K4" s="98"/>
      <c r="L4" s="98"/>
    </row>
    <row r="5" spans="1:19" x14ac:dyDescent="0.2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9" ht="14.25" customHeight="1" x14ac:dyDescent="0.2">
      <c r="A6" s="97"/>
      <c r="B6" s="97"/>
      <c r="C6" s="96"/>
      <c r="D6" s="96"/>
      <c r="E6" s="96"/>
      <c r="F6" s="96"/>
      <c r="G6" s="96"/>
      <c r="H6" s="96"/>
      <c r="I6" s="95"/>
      <c r="J6" s="95"/>
      <c r="K6" s="95"/>
      <c r="L6" s="95"/>
    </row>
    <row r="7" spans="1:19" ht="15" customHeight="1" x14ac:dyDescent="0.2">
      <c r="C7" s="559" t="s">
        <v>106</v>
      </c>
      <c r="D7" s="560"/>
      <c r="E7" s="560"/>
      <c r="F7" s="560"/>
      <c r="G7" s="560"/>
      <c r="H7" s="560"/>
      <c r="I7" s="560"/>
      <c r="J7" s="560"/>
      <c r="K7" s="561"/>
      <c r="L7" s="94" t="s">
        <v>105</v>
      </c>
      <c r="M7" s="93"/>
      <c r="N7" s="92"/>
      <c r="O7" s="91"/>
      <c r="P7" s="90"/>
    </row>
    <row r="8" spans="1:19" ht="15.75" x14ac:dyDescent="0.25">
      <c r="A8" s="89" t="s">
        <v>2</v>
      </c>
      <c r="B8" s="88"/>
      <c r="C8" s="556" t="s">
        <v>104</v>
      </c>
      <c r="D8" s="557"/>
      <c r="E8" s="557"/>
      <c r="F8" s="557"/>
      <c r="G8" s="557"/>
      <c r="H8" s="557"/>
      <c r="I8" s="557"/>
      <c r="J8" s="557"/>
      <c r="K8" s="558"/>
      <c r="L8" s="554" t="s">
        <v>103</v>
      </c>
      <c r="M8" s="555"/>
      <c r="N8" s="555"/>
      <c r="O8" s="87"/>
      <c r="P8" s="86"/>
    </row>
    <row r="9" spans="1:19" ht="45" x14ac:dyDescent="0.25">
      <c r="A9" s="85" t="s">
        <v>102</v>
      </c>
      <c r="B9" s="84" t="s">
        <v>101</v>
      </c>
      <c r="C9" s="83">
        <v>10</v>
      </c>
      <c r="D9" s="83">
        <v>15</v>
      </c>
      <c r="E9" s="83">
        <v>25</v>
      </c>
      <c r="F9" s="83">
        <v>37.5</v>
      </c>
      <c r="G9" s="83">
        <v>50</v>
      </c>
      <c r="H9" s="83">
        <v>75</v>
      </c>
      <c r="I9" s="83">
        <v>100</v>
      </c>
      <c r="J9" s="83">
        <v>167</v>
      </c>
      <c r="K9" s="271" t="s">
        <v>176</v>
      </c>
      <c r="L9" s="82" t="s">
        <v>54</v>
      </c>
      <c r="M9" s="81" t="s">
        <v>56</v>
      </c>
      <c r="N9" s="81" t="s">
        <v>57</v>
      </c>
      <c r="O9" s="81" t="s">
        <v>58</v>
      </c>
      <c r="P9" s="82" t="s">
        <v>60</v>
      </c>
      <c r="Q9" s="81" t="s">
        <v>61</v>
      </c>
      <c r="R9" s="81" t="s">
        <v>63</v>
      </c>
      <c r="S9" s="81" t="s">
        <v>67</v>
      </c>
    </row>
    <row r="10" spans="1:19" ht="14.25" x14ac:dyDescent="0.2">
      <c r="A10" s="80">
        <v>0</v>
      </c>
      <c r="B10" s="78">
        <v>0</v>
      </c>
      <c r="C10" s="77">
        <f>+B10*((0.108*0.9)+(0.054*SIN(ACOS(0.9))))/240*100</f>
        <v>0</v>
      </c>
      <c r="D10" s="77">
        <f t="shared" ref="D10:D73" si="0">+B10*((0.064*0.9)+(0.035*SIN(ACOS(0.9))))/240*100</f>
        <v>0</v>
      </c>
      <c r="E10" s="77">
        <f t="shared" ref="E10:E73" si="1">+B10*((0.031*0.9)+(0.028*SIN(ACOS(0.9))))/240*100</f>
        <v>0</v>
      </c>
      <c r="F10" s="77">
        <f t="shared" ref="F10:F73" si="2">+B10*((0.019*0.9)+(0.02*SIN(ACOS(0.9))))/240*100</f>
        <v>0</v>
      </c>
      <c r="G10" s="77">
        <f t="shared" ref="G10:G73" si="3">+B10*((0.011*0.9)+(0.016*SIN(ACOS(0.9))))/240*100</f>
        <v>0</v>
      </c>
      <c r="H10" s="77">
        <f t="shared" ref="H10:H73" si="4">+B10*((0.007*0.9)+(0.01*SIN(ACOS(0.9))))/240*100</f>
        <v>0</v>
      </c>
      <c r="I10" s="77">
        <f t="shared" ref="I10:I73" si="5">+B10*((0.005*0.9)+(0.009*SIN(ACOS(0.9))))/240*100</f>
        <v>0</v>
      </c>
      <c r="J10" s="77">
        <f>+B10*((0.003*0.9)+(0.006*SIN(ACOS(0.9))))/240*100</f>
        <v>0</v>
      </c>
      <c r="K10" s="272">
        <f>+B10*(('Step 2 - Transformer Sizing'!$R$22*0.9)+('Step 2 - Transformer Sizing'!$R$23*SIN(ACOS(0.9))))/240*100</f>
        <v>0</v>
      </c>
      <c r="L10" s="77">
        <f t="shared" ref="L10:L73" si="6">+$B10*((0.506/1000*100*0.9)+(0.0294/1000*100*SIN(ACOS(0.9))))/240*100*2</f>
        <v>0</v>
      </c>
      <c r="M10" s="77">
        <f t="shared" ref="M10:M73" si="7">+$B10*((0.318/1000*100*0.9)+(0.028/1000*100*SIN(ACOS(0.9))))/240*100*2</f>
        <v>0</v>
      </c>
      <c r="N10" s="77">
        <f t="shared" ref="N10:N73" si="8">+$B10*((0.2/1000*100*0.9)+(0.0283/1000*100*SIN(ACOS(0.9))))/240*100*2</f>
        <v>0</v>
      </c>
      <c r="O10" s="77">
        <f t="shared" ref="O10:O73" si="9">+$B10*((0.099/1000*100*0.9)+(0.0265/1000*100*SIN(ACOS(0.9))))/240*100*2</f>
        <v>0</v>
      </c>
      <c r="P10" s="77">
        <f t="shared" ref="P10:P73" si="10">+$B10*((0.159/1000*100*0.9)+(0.0293/1000*100*SIN(ACOS(0.9))))/240*100*2</f>
        <v>0</v>
      </c>
      <c r="Q10" s="77">
        <f t="shared" ref="Q10:Q73" si="11">+$B10*((0.0999/1000*100*0.9)+(0.028/1000*100*SIN(ACOS(0.9))))/240*100*2</f>
        <v>0</v>
      </c>
      <c r="R10" s="77">
        <f t="shared" ref="R10:R73" si="12">+$B10*((0.0605/1000*100*0.9)+(0.0275/1000*100*SIN(ACOS(0.9))))/240*100*2</f>
        <v>0</v>
      </c>
      <c r="S10" s="77">
        <f t="shared" ref="S10:S73" si="13">+$B10*((0.0425/1000*100*0.9)+(0.0267/1000*100*SIN(ACOS(0.9))))/240*100*2</f>
        <v>0</v>
      </c>
    </row>
    <row r="11" spans="1:19" ht="14.25" x14ac:dyDescent="0.2">
      <c r="A11" s="79">
        <v>1</v>
      </c>
      <c r="B11" s="78">
        <v>4</v>
      </c>
      <c r="C11" s="77">
        <f t="shared" ref="C11:C73" si="14">+B11*((0.108*0.9)+(0.054*SIN(ACOS(0.9))))/240*100</f>
        <v>0.20123009049186608</v>
      </c>
      <c r="D11" s="77">
        <f t="shared" si="0"/>
        <v>0.12142691050398727</v>
      </c>
      <c r="E11" s="77">
        <f t="shared" si="1"/>
        <v>6.6841528403189798E-2</v>
      </c>
      <c r="F11" s="77">
        <f t="shared" si="2"/>
        <v>4.302966314513558E-2</v>
      </c>
      <c r="G11" s="77">
        <f t="shared" si="3"/>
        <v>2.8123730516108461E-2</v>
      </c>
      <c r="H11" s="77">
        <f t="shared" si="4"/>
        <v>1.7764831572567787E-2</v>
      </c>
      <c r="I11" s="77">
        <f t="shared" si="5"/>
        <v>1.4038348415311007E-2</v>
      </c>
      <c r="J11" s="77">
        <f t="shared" ref="J11:J73" si="15">+B11*((0.003*0.9)+(0.006*SIN(ACOS(0.9))))/240*100</f>
        <v>8.8588989435406731E-3</v>
      </c>
      <c r="K11" s="272">
        <f>+B11*(('Step 2 - Transformer Sizing'!$R$22*0.9)+('Step 2 - Transformer Sizing'!$R$23*SIN(ACOS(0.9))))/240*100</f>
        <v>0</v>
      </c>
      <c r="L11" s="77">
        <f t="shared" si="6"/>
        <v>0.15607172096466987</v>
      </c>
      <c r="M11" s="77">
        <f t="shared" si="7"/>
        <v>9.9468305680637983E-2</v>
      </c>
      <c r="N11" s="77">
        <f t="shared" si="8"/>
        <v>6.4111894670073374E-2</v>
      </c>
      <c r="O11" s="77">
        <f t="shared" si="9"/>
        <v>3.3550360733460932E-2</v>
      </c>
      <c r="P11" s="77">
        <f t="shared" si="10"/>
        <v>5.1957191301524729E-2</v>
      </c>
      <c r="Q11" s="77">
        <f t="shared" si="11"/>
        <v>3.4038305680637961E-2</v>
      </c>
      <c r="R11" s="77">
        <f t="shared" si="12"/>
        <v>2.2145657364912284E-2</v>
      </c>
      <c r="S11" s="77">
        <f t="shared" si="13"/>
        <v>1.6629420059751199E-2</v>
      </c>
    </row>
    <row r="12" spans="1:19" ht="14.25" x14ac:dyDescent="0.2">
      <c r="A12" s="79">
        <v>2</v>
      </c>
      <c r="B12" s="78">
        <v>8</v>
      </c>
      <c r="C12" s="77">
        <f t="shared" si="14"/>
        <v>0.40246018098373215</v>
      </c>
      <c r="D12" s="77">
        <f t="shared" si="0"/>
        <v>0.24285382100797454</v>
      </c>
      <c r="E12" s="77">
        <f t="shared" si="1"/>
        <v>0.1336830568063796</v>
      </c>
      <c r="F12" s="77">
        <f t="shared" si="2"/>
        <v>8.605932629027116E-2</v>
      </c>
      <c r="G12" s="77">
        <f t="shared" si="3"/>
        <v>5.6247461032216922E-2</v>
      </c>
      <c r="H12" s="77">
        <f t="shared" si="4"/>
        <v>3.5529663145135573E-2</v>
      </c>
      <c r="I12" s="77">
        <f t="shared" si="5"/>
        <v>2.8076696830622014E-2</v>
      </c>
      <c r="J12" s="77">
        <f t="shared" si="15"/>
        <v>1.7717797887081346E-2</v>
      </c>
      <c r="K12" s="272">
        <f>+B12*(('Step 2 - Transformer Sizing'!$R$22*0.9)+('Step 2 - Transformer Sizing'!$R$23*SIN(ACOS(0.9))))/240*100</f>
        <v>0</v>
      </c>
      <c r="L12" s="77">
        <f t="shared" si="6"/>
        <v>0.31214344192933974</v>
      </c>
      <c r="M12" s="77">
        <f t="shared" si="7"/>
        <v>0.19893661136127597</v>
      </c>
      <c r="N12" s="77">
        <f t="shared" si="8"/>
        <v>0.12822378934014675</v>
      </c>
      <c r="O12" s="77">
        <f t="shared" si="9"/>
        <v>6.7100721466921864E-2</v>
      </c>
      <c r="P12" s="77">
        <f t="shared" si="10"/>
        <v>0.10391438260304946</v>
      </c>
      <c r="Q12" s="77">
        <f t="shared" si="11"/>
        <v>6.8076611361275921E-2</v>
      </c>
      <c r="R12" s="77">
        <f t="shared" si="12"/>
        <v>4.4291314729824567E-2</v>
      </c>
      <c r="S12" s="77">
        <f t="shared" si="13"/>
        <v>3.3258840119502399E-2</v>
      </c>
    </row>
    <row r="13" spans="1:19" ht="14.25" x14ac:dyDescent="0.2">
      <c r="A13" s="79">
        <v>3</v>
      </c>
      <c r="B13" s="78">
        <v>13</v>
      </c>
      <c r="C13" s="77">
        <f t="shared" si="14"/>
        <v>0.65399779409856473</v>
      </c>
      <c r="D13" s="77">
        <f t="shared" si="0"/>
        <v>0.39463745913795856</v>
      </c>
      <c r="E13" s="77">
        <f t="shared" si="1"/>
        <v>0.21723496731036687</v>
      </c>
      <c r="F13" s="77">
        <f t="shared" si="2"/>
        <v>0.13984640522169062</v>
      </c>
      <c r="G13" s="77">
        <f t="shared" si="3"/>
        <v>9.1402124177352481E-2</v>
      </c>
      <c r="H13" s="77">
        <f t="shared" si="4"/>
        <v>5.7735702610845312E-2</v>
      </c>
      <c r="I13" s="77">
        <f t="shared" si="5"/>
        <v>4.5624632349760774E-2</v>
      </c>
      <c r="J13" s="77">
        <f t="shared" si="15"/>
        <v>2.8791421566507189E-2</v>
      </c>
      <c r="K13" s="272">
        <f>+B13*(('Step 2 - Transformer Sizing'!$R$22*0.9)+('Step 2 - Transformer Sizing'!$R$23*SIN(ACOS(0.9))))/240*100</f>
        <v>0</v>
      </c>
      <c r="L13" s="77">
        <f t="shared" si="6"/>
        <v>0.50723309313517706</v>
      </c>
      <c r="M13" s="77">
        <f t="shared" si="7"/>
        <v>0.32327199346207341</v>
      </c>
      <c r="N13" s="77">
        <f t="shared" si="8"/>
        <v>0.20836365767773848</v>
      </c>
      <c r="O13" s="77">
        <f t="shared" si="9"/>
        <v>0.10903867238374802</v>
      </c>
      <c r="P13" s="77">
        <f t="shared" si="10"/>
        <v>0.16886087172995537</v>
      </c>
      <c r="Q13" s="77">
        <f t="shared" si="11"/>
        <v>0.11062449346207338</v>
      </c>
      <c r="R13" s="77">
        <f t="shared" si="12"/>
        <v>7.1973386435964931E-2</v>
      </c>
      <c r="S13" s="77">
        <f t="shared" si="13"/>
        <v>5.4045615194191397E-2</v>
      </c>
    </row>
    <row r="14" spans="1:19" ht="14.25" x14ac:dyDescent="0.2">
      <c r="A14" s="79">
        <v>4</v>
      </c>
      <c r="B14" s="78">
        <v>17</v>
      </c>
      <c r="C14" s="77">
        <f t="shared" si="14"/>
        <v>0.85522788459043086</v>
      </c>
      <c r="D14" s="77">
        <f t="shared" si="0"/>
        <v>0.51606436964194591</v>
      </c>
      <c r="E14" s="77">
        <f t="shared" si="1"/>
        <v>0.2840764957135567</v>
      </c>
      <c r="F14" s="77">
        <f t="shared" si="2"/>
        <v>0.18287606836682621</v>
      </c>
      <c r="G14" s="77">
        <f t="shared" si="3"/>
        <v>0.11952585469346094</v>
      </c>
      <c r="H14" s="77">
        <f t="shared" si="4"/>
        <v>7.5500534183413098E-2</v>
      </c>
      <c r="I14" s="77">
        <f t="shared" si="5"/>
        <v>5.9662980765071788E-2</v>
      </c>
      <c r="J14" s="77">
        <f t="shared" si="15"/>
        <v>3.7650320510047866E-2</v>
      </c>
      <c r="K14" s="272">
        <f>+B14*(('Step 2 - Transformer Sizing'!$R$22*0.9)+('Step 2 - Transformer Sizing'!$R$23*SIN(ACOS(0.9))))/240*100</f>
        <v>0</v>
      </c>
      <c r="L14" s="77">
        <f t="shared" si="6"/>
        <v>0.66330481409984698</v>
      </c>
      <c r="M14" s="77">
        <f t="shared" si="7"/>
        <v>0.42274029914271138</v>
      </c>
      <c r="N14" s="77">
        <f t="shared" si="8"/>
        <v>0.27247555234781184</v>
      </c>
      <c r="O14" s="77">
        <f t="shared" si="9"/>
        <v>0.14258903311720894</v>
      </c>
      <c r="P14" s="77">
        <f t="shared" si="10"/>
        <v>0.22081806303148013</v>
      </c>
      <c r="Q14" s="77">
        <f t="shared" si="11"/>
        <v>0.14466279914271135</v>
      </c>
      <c r="R14" s="77">
        <f t="shared" si="12"/>
        <v>9.4119043800877211E-2</v>
      </c>
      <c r="S14" s="77">
        <f t="shared" si="13"/>
        <v>7.06750352539426E-2</v>
      </c>
    </row>
    <row r="15" spans="1:19" ht="14.25" x14ac:dyDescent="0.2">
      <c r="A15" s="79">
        <v>5</v>
      </c>
      <c r="B15" s="78">
        <v>21</v>
      </c>
      <c r="C15" s="77">
        <f t="shared" si="14"/>
        <v>1.0564579750822969</v>
      </c>
      <c r="D15" s="77">
        <f t="shared" si="0"/>
        <v>0.63749128014593315</v>
      </c>
      <c r="E15" s="77">
        <f t="shared" si="1"/>
        <v>0.35091802411674644</v>
      </c>
      <c r="F15" s="77">
        <f t="shared" si="2"/>
        <v>0.2259057315119618</v>
      </c>
      <c r="G15" s="77">
        <f t="shared" si="3"/>
        <v>0.14764958520956942</v>
      </c>
      <c r="H15" s="77">
        <f t="shared" si="4"/>
        <v>9.3265365755980892E-2</v>
      </c>
      <c r="I15" s="77">
        <f t="shared" si="5"/>
        <v>7.3701329180382788E-2</v>
      </c>
      <c r="J15" s="77">
        <f t="shared" si="15"/>
        <v>4.6509219453588532E-2</v>
      </c>
      <c r="K15" s="272">
        <f>+B15*(('Step 2 - Transformer Sizing'!$R$22*0.9)+('Step 2 - Transformer Sizing'!$R$23*SIN(ACOS(0.9))))/240*100</f>
        <v>0</v>
      </c>
      <c r="L15" s="77">
        <f t="shared" si="6"/>
        <v>0.8193765350645168</v>
      </c>
      <c r="M15" s="77">
        <f t="shared" si="7"/>
        <v>0.5222086048233493</v>
      </c>
      <c r="N15" s="77">
        <f t="shared" si="8"/>
        <v>0.33658744701788523</v>
      </c>
      <c r="O15" s="77">
        <f t="shared" si="9"/>
        <v>0.17613939385066987</v>
      </c>
      <c r="P15" s="77">
        <f t="shared" si="10"/>
        <v>0.27277525433300487</v>
      </c>
      <c r="Q15" s="77">
        <f t="shared" si="11"/>
        <v>0.1787011048233493</v>
      </c>
      <c r="R15" s="77">
        <f t="shared" si="12"/>
        <v>0.11626470116578951</v>
      </c>
      <c r="S15" s="77">
        <f t="shared" si="13"/>
        <v>8.7304455313693796E-2</v>
      </c>
    </row>
    <row r="16" spans="1:19" ht="14.25" x14ac:dyDescent="0.2">
      <c r="A16" s="79">
        <v>6</v>
      </c>
      <c r="B16" s="78">
        <v>25</v>
      </c>
      <c r="C16" s="77">
        <f t="shared" si="14"/>
        <v>1.2576880655741629</v>
      </c>
      <c r="D16" s="77">
        <f t="shared" si="0"/>
        <v>0.75891819064992039</v>
      </c>
      <c r="E16" s="77">
        <f t="shared" si="1"/>
        <v>0.41775955251993635</v>
      </c>
      <c r="F16" s="77">
        <f t="shared" si="2"/>
        <v>0.26893539465709732</v>
      </c>
      <c r="G16" s="77">
        <f t="shared" si="3"/>
        <v>0.17577331572567786</v>
      </c>
      <c r="H16" s="77">
        <f t="shared" si="4"/>
        <v>0.11103019732854869</v>
      </c>
      <c r="I16" s="77">
        <f t="shared" si="5"/>
        <v>8.7739677595693802E-2</v>
      </c>
      <c r="J16" s="77">
        <f t="shared" si="15"/>
        <v>5.5368118397129205E-2</v>
      </c>
      <c r="K16" s="272">
        <f>+B16*(('Step 2 - Transformer Sizing'!$R$22*0.9)+('Step 2 - Transformer Sizing'!$R$23*SIN(ACOS(0.9))))/240*100</f>
        <v>0</v>
      </c>
      <c r="L16" s="77">
        <f t="shared" si="6"/>
        <v>0.97544825602918683</v>
      </c>
      <c r="M16" s="77">
        <f t="shared" si="7"/>
        <v>0.62167691050398743</v>
      </c>
      <c r="N16" s="77">
        <f t="shared" si="8"/>
        <v>0.40069934168795857</v>
      </c>
      <c r="O16" s="77">
        <f t="shared" si="9"/>
        <v>0.20968975458413083</v>
      </c>
      <c r="P16" s="77">
        <f t="shared" si="10"/>
        <v>0.32473244563452958</v>
      </c>
      <c r="Q16" s="77">
        <f t="shared" si="11"/>
        <v>0.21273941050398726</v>
      </c>
      <c r="R16" s="77">
        <f t="shared" si="12"/>
        <v>0.1384103585307018</v>
      </c>
      <c r="S16" s="77">
        <f t="shared" si="13"/>
        <v>0.10393387537344499</v>
      </c>
    </row>
    <row r="17" spans="1:19" ht="14.25" x14ac:dyDescent="0.2">
      <c r="A17" s="79">
        <v>7</v>
      </c>
      <c r="B17" s="78">
        <v>29</v>
      </c>
      <c r="C17" s="77">
        <f t="shared" si="14"/>
        <v>1.4589181560660291</v>
      </c>
      <c r="D17" s="77">
        <f t="shared" si="0"/>
        <v>0.88034510115390752</v>
      </c>
      <c r="E17" s="77">
        <f t="shared" si="1"/>
        <v>0.48460108092312615</v>
      </c>
      <c r="F17" s="77">
        <f t="shared" si="2"/>
        <v>0.31196505780223288</v>
      </c>
      <c r="G17" s="77">
        <f t="shared" si="3"/>
        <v>0.20389704624178634</v>
      </c>
      <c r="H17" s="77">
        <f t="shared" si="4"/>
        <v>0.12879502890111647</v>
      </c>
      <c r="I17" s="77">
        <f t="shared" si="5"/>
        <v>0.10177802601100482</v>
      </c>
      <c r="J17" s="77">
        <f t="shared" si="15"/>
        <v>6.4227017340669879E-2</v>
      </c>
      <c r="K17" s="272">
        <f>+B17*(('Step 2 - Transformer Sizing'!$R$22*0.9)+('Step 2 - Transformer Sizing'!$R$23*SIN(ACOS(0.9))))/240*100</f>
        <v>0</v>
      </c>
      <c r="L17" s="77">
        <f t="shared" si="6"/>
        <v>1.1315199769938566</v>
      </c>
      <c r="M17" s="77">
        <f t="shared" si="7"/>
        <v>0.72114521618462535</v>
      </c>
      <c r="N17" s="77">
        <f t="shared" si="8"/>
        <v>0.46481123635803195</v>
      </c>
      <c r="O17" s="77">
        <f t="shared" si="9"/>
        <v>0.24324011531759177</v>
      </c>
      <c r="P17" s="77">
        <f t="shared" si="10"/>
        <v>0.37668963693605428</v>
      </c>
      <c r="Q17" s="77">
        <f t="shared" si="11"/>
        <v>0.24677771618462521</v>
      </c>
      <c r="R17" s="77">
        <f t="shared" si="12"/>
        <v>0.16055601589561408</v>
      </c>
      <c r="S17" s="77">
        <f t="shared" si="13"/>
        <v>0.1205632954331962</v>
      </c>
    </row>
    <row r="18" spans="1:19" ht="14.25" x14ac:dyDescent="0.2">
      <c r="A18" s="79">
        <v>8</v>
      </c>
      <c r="B18" s="78">
        <v>33</v>
      </c>
      <c r="C18" s="77">
        <f t="shared" si="14"/>
        <v>1.6601482465578952</v>
      </c>
      <c r="D18" s="77">
        <f t="shared" si="0"/>
        <v>1.001772011657895</v>
      </c>
      <c r="E18" s="77">
        <f t="shared" si="1"/>
        <v>0.55144260932631595</v>
      </c>
      <c r="F18" s="77">
        <f t="shared" si="2"/>
        <v>0.3549947209473685</v>
      </c>
      <c r="G18" s="77">
        <f t="shared" si="3"/>
        <v>0.23202077675789479</v>
      </c>
      <c r="H18" s="77">
        <f t="shared" si="4"/>
        <v>0.14655986047368424</v>
      </c>
      <c r="I18" s="77">
        <f t="shared" si="5"/>
        <v>0.1158163744263158</v>
      </c>
      <c r="J18" s="77">
        <f t="shared" si="15"/>
        <v>7.3085916284210545E-2</v>
      </c>
      <c r="K18" s="272">
        <f>+B18*(('Step 2 - Transformer Sizing'!$R$22*0.9)+('Step 2 - Transformer Sizing'!$R$23*SIN(ACOS(0.9))))/240*100</f>
        <v>0</v>
      </c>
      <c r="L18" s="77">
        <f t="shared" si="6"/>
        <v>1.2875916979585265</v>
      </c>
      <c r="M18" s="77">
        <f t="shared" si="7"/>
        <v>0.82061352186526326</v>
      </c>
      <c r="N18" s="77">
        <f t="shared" si="8"/>
        <v>0.5289231310281054</v>
      </c>
      <c r="O18" s="77">
        <f t="shared" si="9"/>
        <v>0.27679047605105261</v>
      </c>
      <c r="P18" s="77">
        <f t="shared" si="10"/>
        <v>0.42864682823757899</v>
      </c>
      <c r="Q18" s="77">
        <f t="shared" si="11"/>
        <v>0.28081602186526322</v>
      </c>
      <c r="R18" s="77">
        <f t="shared" si="12"/>
        <v>0.18270167326052633</v>
      </c>
      <c r="S18" s="77">
        <f t="shared" si="13"/>
        <v>0.1371927154929474</v>
      </c>
    </row>
    <row r="19" spans="1:19" ht="14.25" x14ac:dyDescent="0.2">
      <c r="A19" s="79">
        <v>9</v>
      </c>
      <c r="B19" s="78">
        <v>38</v>
      </c>
      <c r="C19" s="77">
        <f t="shared" si="14"/>
        <v>1.9116858596727275</v>
      </c>
      <c r="D19" s="77">
        <f t="shared" si="0"/>
        <v>1.1535556497878792</v>
      </c>
      <c r="E19" s="77">
        <f t="shared" si="1"/>
        <v>0.63499451983030319</v>
      </c>
      <c r="F19" s="77">
        <f t="shared" si="2"/>
        <v>0.40878179987878804</v>
      </c>
      <c r="G19" s="77">
        <f t="shared" si="3"/>
        <v>0.26717543990303033</v>
      </c>
      <c r="H19" s="77">
        <f t="shared" si="4"/>
        <v>0.16876589993939398</v>
      </c>
      <c r="I19" s="77">
        <f t="shared" si="5"/>
        <v>0.13336430994545456</v>
      </c>
      <c r="J19" s="77">
        <f t="shared" si="15"/>
        <v>8.4159539963636398E-2</v>
      </c>
      <c r="K19" s="272">
        <f>+B19*(('Step 2 - Transformer Sizing'!$R$22*0.9)+('Step 2 - Transformer Sizing'!$R$23*SIN(ACOS(0.9))))/240*100</f>
        <v>0</v>
      </c>
      <c r="L19" s="77">
        <f t="shared" si="6"/>
        <v>1.4826813491643638</v>
      </c>
      <c r="M19" s="77">
        <f t="shared" si="7"/>
        <v>0.94494890396606079</v>
      </c>
      <c r="N19" s="77">
        <f t="shared" si="8"/>
        <v>0.60906299936569708</v>
      </c>
      <c r="O19" s="77">
        <f t="shared" si="9"/>
        <v>0.3187284269678789</v>
      </c>
      <c r="P19" s="77">
        <f t="shared" si="10"/>
        <v>0.49359331736448492</v>
      </c>
      <c r="Q19" s="77">
        <f t="shared" si="11"/>
        <v>0.32336390396606063</v>
      </c>
      <c r="R19" s="77">
        <f t="shared" si="12"/>
        <v>0.2103837449666667</v>
      </c>
      <c r="S19" s="77">
        <f t="shared" si="13"/>
        <v>0.15797949056763641</v>
      </c>
    </row>
    <row r="20" spans="1:19" ht="14.25" x14ac:dyDescent="0.2">
      <c r="A20" s="79">
        <v>10</v>
      </c>
      <c r="B20" s="78">
        <v>42</v>
      </c>
      <c r="C20" s="77">
        <f t="shared" si="14"/>
        <v>2.1129159501645938</v>
      </c>
      <c r="D20" s="77">
        <f t="shared" si="0"/>
        <v>1.2749825602918663</v>
      </c>
      <c r="E20" s="77">
        <f t="shared" si="1"/>
        <v>0.70183604823349288</v>
      </c>
      <c r="F20" s="77">
        <f t="shared" si="2"/>
        <v>0.45181146302392361</v>
      </c>
      <c r="G20" s="77">
        <f t="shared" si="3"/>
        <v>0.29529917041913883</v>
      </c>
      <c r="H20" s="77">
        <f t="shared" si="4"/>
        <v>0.18653073151196178</v>
      </c>
      <c r="I20" s="77">
        <f t="shared" si="5"/>
        <v>0.14740265836076558</v>
      </c>
      <c r="J20" s="77">
        <f t="shared" si="15"/>
        <v>9.3018438907177065E-2</v>
      </c>
      <c r="K20" s="272">
        <f>+B20*(('Step 2 - Transformer Sizing'!$R$22*0.9)+('Step 2 - Transformer Sizing'!$R$23*SIN(ACOS(0.9))))/240*100</f>
        <v>0</v>
      </c>
      <c r="L20" s="77">
        <f t="shared" si="6"/>
        <v>1.6387530701290336</v>
      </c>
      <c r="M20" s="77">
        <f t="shared" si="7"/>
        <v>1.0444172096466986</v>
      </c>
      <c r="N20" s="77">
        <f t="shared" si="8"/>
        <v>0.67317489403577047</v>
      </c>
      <c r="O20" s="77">
        <f t="shared" si="9"/>
        <v>0.35227878770133975</v>
      </c>
      <c r="P20" s="77">
        <f t="shared" si="10"/>
        <v>0.54555050866600974</v>
      </c>
      <c r="Q20" s="77">
        <f t="shared" si="11"/>
        <v>0.35740220964669861</v>
      </c>
      <c r="R20" s="77">
        <f t="shared" si="12"/>
        <v>0.23252940233157901</v>
      </c>
      <c r="S20" s="77">
        <f t="shared" si="13"/>
        <v>0.17460891062738759</v>
      </c>
    </row>
    <row r="21" spans="1:19" ht="14.25" x14ac:dyDescent="0.2">
      <c r="A21" s="79">
        <v>11</v>
      </c>
      <c r="B21" s="78">
        <v>46</v>
      </c>
      <c r="C21" s="77">
        <f t="shared" si="14"/>
        <v>2.3141460406564596</v>
      </c>
      <c r="D21" s="77">
        <f t="shared" si="0"/>
        <v>1.3964094707958536</v>
      </c>
      <c r="E21" s="77">
        <f t="shared" si="1"/>
        <v>0.76867757663668279</v>
      </c>
      <c r="F21" s="77">
        <f t="shared" si="2"/>
        <v>0.49484112616905906</v>
      </c>
      <c r="G21" s="77">
        <f t="shared" si="3"/>
        <v>0.32342290093524728</v>
      </c>
      <c r="H21" s="77">
        <f t="shared" si="4"/>
        <v>0.20429556308452956</v>
      </c>
      <c r="I21" s="77">
        <f t="shared" si="5"/>
        <v>0.16144100677607659</v>
      </c>
      <c r="J21" s="77">
        <f t="shared" si="15"/>
        <v>0.10187733785071773</v>
      </c>
      <c r="K21" s="272">
        <f>+B21*(('Step 2 - Transformer Sizing'!$R$22*0.9)+('Step 2 - Transformer Sizing'!$R$23*SIN(ACOS(0.9))))/240*100</f>
        <v>0</v>
      </c>
      <c r="L21" s="77">
        <f t="shared" si="6"/>
        <v>1.7948247910937034</v>
      </c>
      <c r="M21" s="77">
        <f t="shared" si="7"/>
        <v>1.1438855153273368</v>
      </c>
      <c r="N21" s="77">
        <f t="shared" si="8"/>
        <v>0.73728678870584374</v>
      </c>
      <c r="O21" s="77">
        <f t="shared" si="9"/>
        <v>0.38582914843480071</v>
      </c>
      <c r="P21" s="77">
        <f t="shared" si="10"/>
        <v>0.59750769996753439</v>
      </c>
      <c r="Q21" s="77">
        <f t="shared" si="11"/>
        <v>0.39144051532733654</v>
      </c>
      <c r="R21" s="77">
        <f t="shared" si="12"/>
        <v>0.25467505969649129</v>
      </c>
      <c r="S21" s="77">
        <f t="shared" si="13"/>
        <v>0.1912383306871388</v>
      </c>
    </row>
    <row r="22" spans="1:19" ht="14.25" x14ac:dyDescent="0.2">
      <c r="A22" s="79">
        <v>12</v>
      </c>
      <c r="B22" s="78">
        <v>50</v>
      </c>
      <c r="C22" s="77">
        <f t="shared" si="14"/>
        <v>2.5153761311483258</v>
      </c>
      <c r="D22" s="77">
        <f t="shared" si="0"/>
        <v>1.5178363812998408</v>
      </c>
      <c r="E22" s="77">
        <f t="shared" si="1"/>
        <v>0.8355191050398727</v>
      </c>
      <c r="F22" s="77">
        <f t="shared" si="2"/>
        <v>0.53787078931419463</v>
      </c>
      <c r="G22" s="77">
        <f t="shared" si="3"/>
        <v>0.35154663145135573</v>
      </c>
      <c r="H22" s="77">
        <f t="shared" si="4"/>
        <v>0.22206039465709737</v>
      </c>
      <c r="I22" s="77">
        <f t="shared" si="5"/>
        <v>0.1754793551913876</v>
      </c>
      <c r="J22" s="77">
        <f t="shared" si="15"/>
        <v>0.11073623679425841</v>
      </c>
      <c r="K22" s="272">
        <f>+B22*(('Step 2 - Transformer Sizing'!$R$22*0.9)+('Step 2 - Transformer Sizing'!$R$23*SIN(ACOS(0.9))))/240*100</f>
        <v>0</v>
      </c>
      <c r="L22" s="77">
        <f t="shared" si="6"/>
        <v>1.9508965120583737</v>
      </c>
      <c r="M22" s="77">
        <f t="shared" si="7"/>
        <v>1.2433538210079749</v>
      </c>
      <c r="N22" s="77">
        <f t="shared" si="8"/>
        <v>0.80139868337591713</v>
      </c>
      <c r="O22" s="77">
        <f t="shared" si="9"/>
        <v>0.41937950916826167</v>
      </c>
      <c r="P22" s="77">
        <f t="shared" si="10"/>
        <v>0.64946489126905915</v>
      </c>
      <c r="Q22" s="77">
        <f t="shared" si="11"/>
        <v>0.42547882100797452</v>
      </c>
      <c r="R22" s="77">
        <f t="shared" si="12"/>
        <v>0.2768207170614036</v>
      </c>
      <c r="S22" s="77">
        <f t="shared" si="13"/>
        <v>0.20786775074688998</v>
      </c>
    </row>
    <row r="23" spans="1:19" ht="14.25" x14ac:dyDescent="0.2">
      <c r="A23" s="79">
        <v>13</v>
      </c>
      <c r="B23" s="78">
        <v>54</v>
      </c>
      <c r="C23" s="77">
        <f t="shared" si="14"/>
        <v>2.7166062216401921</v>
      </c>
      <c r="D23" s="77">
        <f t="shared" si="0"/>
        <v>1.6392632918038281</v>
      </c>
      <c r="E23" s="77">
        <f t="shared" si="1"/>
        <v>0.90236063344306239</v>
      </c>
      <c r="F23" s="77">
        <f t="shared" si="2"/>
        <v>0.58090045245933031</v>
      </c>
      <c r="G23" s="77">
        <f t="shared" si="3"/>
        <v>0.37967036196746418</v>
      </c>
      <c r="H23" s="77">
        <f t="shared" si="4"/>
        <v>0.23982522622966515</v>
      </c>
      <c r="I23" s="77">
        <f t="shared" si="5"/>
        <v>0.18951770360669862</v>
      </c>
      <c r="J23" s="77">
        <f t="shared" si="15"/>
        <v>0.11959513573779909</v>
      </c>
      <c r="K23" s="272">
        <f>+B23*(('Step 2 - Transformer Sizing'!$R$22*0.9)+('Step 2 - Transformer Sizing'!$R$23*SIN(ACOS(0.9))))/240*100</f>
        <v>0</v>
      </c>
      <c r="L23" s="77">
        <f t="shared" si="6"/>
        <v>2.1069682330230433</v>
      </c>
      <c r="M23" s="77">
        <f t="shared" si="7"/>
        <v>1.3428221266886127</v>
      </c>
      <c r="N23" s="77">
        <f t="shared" si="8"/>
        <v>0.86551057804599063</v>
      </c>
      <c r="O23" s="77">
        <f t="shared" si="9"/>
        <v>0.45292986990172251</v>
      </c>
      <c r="P23" s="77">
        <f t="shared" si="10"/>
        <v>0.70142208257058392</v>
      </c>
      <c r="Q23" s="77">
        <f t="shared" si="11"/>
        <v>0.45951712668861244</v>
      </c>
      <c r="R23" s="77">
        <f t="shared" si="12"/>
        <v>0.29896637442631585</v>
      </c>
      <c r="S23" s="77">
        <f t="shared" si="13"/>
        <v>0.22449717080664119</v>
      </c>
    </row>
    <row r="24" spans="1:19" ht="14.25" x14ac:dyDescent="0.2">
      <c r="A24" s="79">
        <v>14</v>
      </c>
      <c r="B24" s="78">
        <v>58</v>
      </c>
      <c r="C24" s="77">
        <f t="shared" si="14"/>
        <v>2.9178363121320583</v>
      </c>
      <c r="D24" s="77">
        <f t="shared" si="0"/>
        <v>1.760690202307815</v>
      </c>
      <c r="E24" s="77">
        <f t="shared" si="1"/>
        <v>0.9692021618462523</v>
      </c>
      <c r="F24" s="77">
        <f t="shared" si="2"/>
        <v>0.62393011560446576</v>
      </c>
      <c r="G24" s="77">
        <f t="shared" si="3"/>
        <v>0.40779409248357268</v>
      </c>
      <c r="H24" s="77">
        <f t="shared" si="4"/>
        <v>0.25759005780223293</v>
      </c>
      <c r="I24" s="77">
        <f t="shared" si="5"/>
        <v>0.20355605202200963</v>
      </c>
      <c r="J24" s="77">
        <f t="shared" si="15"/>
        <v>0.12845403468133976</v>
      </c>
      <c r="K24" s="272">
        <f>+B24*(('Step 2 - Transformer Sizing'!$R$22*0.9)+('Step 2 - Transformer Sizing'!$R$23*SIN(ACOS(0.9))))/240*100</f>
        <v>0</v>
      </c>
      <c r="L24" s="77">
        <f t="shared" si="6"/>
        <v>2.2630399539877133</v>
      </c>
      <c r="M24" s="77">
        <f t="shared" si="7"/>
        <v>1.4422904323692507</v>
      </c>
      <c r="N24" s="77">
        <f t="shared" si="8"/>
        <v>0.92962247271606391</v>
      </c>
      <c r="O24" s="77">
        <f t="shared" si="9"/>
        <v>0.48648023063518353</v>
      </c>
      <c r="P24" s="77">
        <f t="shared" si="10"/>
        <v>0.75337927387210857</v>
      </c>
      <c r="Q24" s="77">
        <f t="shared" si="11"/>
        <v>0.49355543236925042</v>
      </c>
      <c r="R24" s="77">
        <f t="shared" si="12"/>
        <v>0.32111203179122816</v>
      </c>
      <c r="S24" s="77">
        <f t="shared" si="13"/>
        <v>0.2411265908663924</v>
      </c>
    </row>
    <row r="25" spans="1:19" ht="14.25" x14ac:dyDescent="0.2">
      <c r="A25" s="79">
        <v>15</v>
      </c>
      <c r="B25" s="78">
        <v>63</v>
      </c>
      <c r="C25" s="77">
        <f t="shared" si="14"/>
        <v>3.1693739252468904</v>
      </c>
      <c r="D25" s="77">
        <f t="shared" si="0"/>
        <v>1.9124738404377994</v>
      </c>
      <c r="E25" s="77">
        <f t="shared" si="1"/>
        <v>1.0527540723502395</v>
      </c>
      <c r="F25" s="77">
        <f t="shared" si="2"/>
        <v>0.67771719453588541</v>
      </c>
      <c r="G25" s="77">
        <f t="shared" si="3"/>
        <v>0.44294875562870817</v>
      </c>
      <c r="H25" s="77">
        <f t="shared" si="4"/>
        <v>0.27979609726794263</v>
      </c>
      <c r="I25" s="77">
        <f t="shared" si="5"/>
        <v>0.22110398754114838</v>
      </c>
      <c r="J25" s="77">
        <f t="shared" si="15"/>
        <v>0.13952765836076561</v>
      </c>
      <c r="K25" s="272">
        <f>+B25*(('Step 2 - Transformer Sizing'!$R$22*0.9)+('Step 2 - Transformer Sizing'!$R$23*SIN(ACOS(0.9))))/240*100</f>
        <v>0</v>
      </c>
      <c r="L25" s="77">
        <f t="shared" si="6"/>
        <v>2.4581296051935504</v>
      </c>
      <c r="M25" s="77">
        <f t="shared" si="7"/>
        <v>1.566625814470048</v>
      </c>
      <c r="N25" s="77">
        <f t="shared" si="8"/>
        <v>1.0097623410536556</v>
      </c>
      <c r="O25" s="77">
        <f t="shared" si="9"/>
        <v>0.5284181815520097</v>
      </c>
      <c r="P25" s="77">
        <f t="shared" si="10"/>
        <v>0.81832576299901449</v>
      </c>
      <c r="Q25" s="77">
        <f t="shared" si="11"/>
        <v>0.53610331447004789</v>
      </c>
      <c r="R25" s="77">
        <f t="shared" si="12"/>
        <v>0.3487941034973685</v>
      </c>
      <c r="S25" s="77">
        <f t="shared" si="13"/>
        <v>0.26191336594108139</v>
      </c>
    </row>
    <row r="26" spans="1:19" ht="14.25" x14ac:dyDescent="0.2">
      <c r="A26" s="79">
        <v>16</v>
      </c>
      <c r="B26" s="78">
        <v>67</v>
      </c>
      <c r="C26" s="77">
        <f t="shared" si="14"/>
        <v>3.3706040157387562</v>
      </c>
      <c r="D26" s="77">
        <f t="shared" si="0"/>
        <v>2.0339007509417866</v>
      </c>
      <c r="E26" s="77">
        <f t="shared" si="1"/>
        <v>1.1195956007534293</v>
      </c>
      <c r="F26" s="77">
        <f t="shared" si="2"/>
        <v>0.72074685768102087</v>
      </c>
      <c r="G26" s="77">
        <f t="shared" si="3"/>
        <v>0.47107248614481667</v>
      </c>
      <c r="H26" s="77">
        <f t="shared" si="4"/>
        <v>0.29756092884051044</v>
      </c>
      <c r="I26" s="77">
        <f t="shared" si="5"/>
        <v>0.23514233595645939</v>
      </c>
      <c r="J26" s="77">
        <f t="shared" si="15"/>
        <v>0.14838655730430628</v>
      </c>
      <c r="K26" s="272">
        <f>+B26*(('Step 2 - Transformer Sizing'!$R$22*0.9)+('Step 2 - Transformer Sizing'!$R$23*SIN(ACOS(0.9))))/240*100</f>
        <v>0</v>
      </c>
      <c r="L26" s="77">
        <f t="shared" si="6"/>
        <v>2.6142013261582204</v>
      </c>
      <c r="M26" s="77">
        <f t="shared" si="7"/>
        <v>1.6660941201506863</v>
      </c>
      <c r="N26" s="77">
        <f t="shared" si="8"/>
        <v>1.073874235723729</v>
      </c>
      <c r="O26" s="77">
        <f t="shared" si="9"/>
        <v>0.56196854228547066</v>
      </c>
      <c r="P26" s="77">
        <f t="shared" si="10"/>
        <v>0.87028295430053915</v>
      </c>
      <c r="Q26" s="77">
        <f t="shared" si="11"/>
        <v>0.57014162015068592</v>
      </c>
      <c r="R26" s="77">
        <f t="shared" si="12"/>
        <v>0.37093976086228075</v>
      </c>
      <c r="S26" s="77">
        <f t="shared" si="13"/>
        <v>0.27854278600083265</v>
      </c>
    </row>
    <row r="27" spans="1:19" ht="14.25" x14ac:dyDescent="0.2">
      <c r="A27" s="79">
        <v>17</v>
      </c>
      <c r="B27" s="78">
        <v>71</v>
      </c>
      <c r="C27" s="77">
        <f t="shared" si="14"/>
        <v>3.5718341062306225</v>
      </c>
      <c r="D27" s="77">
        <f t="shared" si="0"/>
        <v>2.1553276614457739</v>
      </c>
      <c r="E27" s="77">
        <f t="shared" si="1"/>
        <v>1.1864371291566191</v>
      </c>
      <c r="F27" s="77">
        <f t="shared" si="2"/>
        <v>0.76377652082615644</v>
      </c>
      <c r="G27" s="77">
        <f t="shared" si="3"/>
        <v>0.49919621666092517</v>
      </c>
      <c r="H27" s="77">
        <f t="shared" si="4"/>
        <v>0.31532576041307825</v>
      </c>
      <c r="I27" s="77">
        <f t="shared" si="5"/>
        <v>0.24918068437177043</v>
      </c>
      <c r="J27" s="77">
        <f t="shared" si="15"/>
        <v>0.15724545624784697</v>
      </c>
      <c r="K27" s="272">
        <f>+B27*(('Step 2 - Transformer Sizing'!$R$22*0.9)+('Step 2 - Transformer Sizing'!$R$23*SIN(ACOS(0.9))))/240*100</f>
        <v>0</v>
      </c>
      <c r="L27" s="77">
        <f t="shared" si="6"/>
        <v>2.77027304712289</v>
      </c>
      <c r="M27" s="77">
        <f t="shared" si="7"/>
        <v>1.7655624258313241</v>
      </c>
      <c r="N27" s="77">
        <f t="shared" si="8"/>
        <v>1.1379861303938026</v>
      </c>
      <c r="O27" s="77">
        <f t="shared" si="9"/>
        <v>0.59551890301893151</v>
      </c>
      <c r="P27" s="77">
        <f t="shared" si="10"/>
        <v>0.92224014560206391</v>
      </c>
      <c r="Q27" s="77">
        <f t="shared" si="11"/>
        <v>0.60417992583132385</v>
      </c>
      <c r="R27" s="77">
        <f t="shared" si="12"/>
        <v>0.39308541822719301</v>
      </c>
      <c r="S27" s="77">
        <f t="shared" si="13"/>
        <v>0.29517220606058381</v>
      </c>
    </row>
    <row r="28" spans="1:19" ht="14.25" x14ac:dyDescent="0.2">
      <c r="A28" s="79">
        <v>18</v>
      </c>
      <c r="B28" s="78">
        <v>75</v>
      </c>
      <c r="C28" s="77">
        <f t="shared" si="14"/>
        <v>3.7730641967224887</v>
      </c>
      <c r="D28" s="77">
        <f t="shared" si="0"/>
        <v>2.2767545719497613</v>
      </c>
      <c r="E28" s="77">
        <f t="shared" si="1"/>
        <v>1.2532786575598089</v>
      </c>
      <c r="F28" s="77">
        <f t="shared" si="2"/>
        <v>0.806806183971292</v>
      </c>
      <c r="G28" s="77">
        <f t="shared" si="3"/>
        <v>0.52731994717703357</v>
      </c>
      <c r="H28" s="77">
        <f t="shared" si="4"/>
        <v>0.333090591985646</v>
      </c>
      <c r="I28" s="77">
        <f t="shared" si="5"/>
        <v>0.26321903278708136</v>
      </c>
      <c r="J28" s="77">
        <f t="shared" si="15"/>
        <v>0.16610435519138761</v>
      </c>
      <c r="K28" s="272">
        <f>+B28*(('Step 2 - Transformer Sizing'!$R$22*0.9)+('Step 2 - Transformer Sizing'!$R$23*SIN(ACOS(0.9))))/240*100</f>
        <v>0</v>
      </c>
      <c r="L28" s="77">
        <f t="shared" si="6"/>
        <v>2.9263447680875601</v>
      </c>
      <c r="M28" s="77">
        <f t="shared" si="7"/>
        <v>1.8650307315119623</v>
      </c>
      <c r="N28" s="77">
        <f t="shared" si="8"/>
        <v>1.2020980250638758</v>
      </c>
      <c r="O28" s="77">
        <f t="shared" si="9"/>
        <v>0.62906926375239236</v>
      </c>
      <c r="P28" s="77">
        <f t="shared" si="10"/>
        <v>0.97419733690358878</v>
      </c>
      <c r="Q28" s="77">
        <f t="shared" si="11"/>
        <v>0.63821823151196189</v>
      </c>
      <c r="R28" s="77">
        <f t="shared" si="12"/>
        <v>0.41523107559210531</v>
      </c>
      <c r="S28" s="77">
        <f t="shared" si="13"/>
        <v>0.31180162612033502</v>
      </c>
    </row>
    <row r="29" spans="1:19" ht="14.25" x14ac:dyDescent="0.2">
      <c r="A29" s="79">
        <v>19</v>
      </c>
      <c r="B29" s="78">
        <v>79</v>
      </c>
      <c r="C29" s="77">
        <f t="shared" si="14"/>
        <v>3.974294287214355</v>
      </c>
      <c r="D29" s="77">
        <f t="shared" si="0"/>
        <v>2.3981814824537482</v>
      </c>
      <c r="E29" s="77">
        <f t="shared" si="1"/>
        <v>1.3201201859629985</v>
      </c>
      <c r="F29" s="77">
        <f t="shared" si="2"/>
        <v>0.84983584711642768</v>
      </c>
      <c r="G29" s="77">
        <f t="shared" si="3"/>
        <v>0.55544367769314207</v>
      </c>
      <c r="H29" s="77">
        <f t="shared" si="4"/>
        <v>0.35085542355821381</v>
      </c>
      <c r="I29" s="77">
        <f t="shared" si="5"/>
        <v>0.27725738120239235</v>
      </c>
      <c r="J29" s="77">
        <f t="shared" si="15"/>
        <v>0.1749632541349283</v>
      </c>
      <c r="K29" s="272">
        <f>+B29*(('Step 2 - Transformer Sizing'!$R$22*0.9)+('Step 2 - Transformer Sizing'!$R$23*SIN(ACOS(0.9))))/240*100</f>
        <v>0</v>
      </c>
      <c r="L29" s="77">
        <f t="shared" si="6"/>
        <v>3.0824164890522301</v>
      </c>
      <c r="M29" s="77">
        <f t="shared" si="7"/>
        <v>1.9644990371926001</v>
      </c>
      <c r="N29" s="77">
        <f t="shared" si="8"/>
        <v>1.2662099197339491</v>
      </c>
      <c r="O29" s="77">
        <f t="shared" si="9"/>
        <v>0.66261962448585332</v>
      </c>
      <c r="P29" s="77">
        <f t="shared" si="10"/>
        <v>1.0261545282051134</v>
      </c>
      <c r="Q29" s="77">
        <f t="shared" si="11"/>
        <v>0.67225653719259981</v>
      </c>
      <c r="R29" s="77">
        <f t="shared" si="12"/>
        <v>0.43737673295701762</v>
      </c>
      <c r="S29" s="77">
        <f t="shared" si="13"/>
        <v>0.32843104618008617</v>
      </c>
    </row>
    <row r="30" spans="1:19" ht="14.25" x14ac:dyDescent="0.2">
      <c r="A30" s="79">
        <v>20</v>
      </c>
      <c r="B30" s="78">
        <v>83</v>
      </c>
      <c r="C30" s="77">
        <f t="shared" si="14"/>
        <v>4.1755243777062203</v>
      </c>
      <c r="D30" s="77">
        <f t="shared" si="0"/>
        <v>2.5196083929577355</v>
      </c>
      <c r="E30" s="77">
        <f t="shared" si="1"/>
        <v>1.3869617143661885</v>
      </c>
      <c r="F30" s="77">
        <f t="shared" si="2"/>
        <v>0.89286551026156336</v>
      </c>
      <c r="G30" s="77">
        <f t="shared" si="3"/>
        <v>0.58356740820925046</v>
      </c>
      <c r="H30" s="77">
        <f t="shared" si="4"/>
        <v>0.36862025513078162</v>
      </c>
      <c r="I30" s="77">
        <f t="shared" si="5"/>
        <v>0.29129572961770339</v>
      </c>
      <c r="J30" s="77">
        <f t="shared" si="15"/>
        <v>0.18382215307846894</v>
      </c>
      <c r="K30" s="272">
        <f>+B30*(('Step 2 - Transformer Sizing'!$R$22*0.9)+('Step 2 - Transformer Sizing'!$R$23*SIN(ACOS(0.9))))/240*100</f>
        <v>0</v>
      </c>
      <c r="L30" s="77">
        <f t="shared" si="6"/>
        <v>3.2384882100169001</v>
      </c>
      <c r="M30" s="77">
        <f t="shared" si="7"/>
        <v>2.0639673428732377</v>
      </c>
      <c r="N30" s="77">
        <f t="shared" si="8"/>
        <v>1.3303218144040225</v>
      </c>
      <c r="O30" s="77">
        <f t="shared" si="9"/>
        <v>0.69616998521931428</v>
      </c>
      <c r="P30" s="77">
        <f t="shared" si="10"/>
        <v>1.0781117195066381</v>
      </c>
      <c r="Q30" s="77">
        <f t="shared" si="11"/>
        <v>0.70629484287323785</v>
      </c>
      <c r="R30" s="77">
        <f t="shared" si="12"/>
        <v>0.45952239032192993</v>
      </c>
      <c r="S30" s="77">
        <f t="shared" si="13"/>
        <v>0.34506046623983738</v>
      </c>
    </row>
    <row r="31" spans="1:19" ht="14.25" x14ac:dyDescent="0.2">
      <c r="A31" s="79">
        <v>21</v>
      </c>
      <c r="B31" s="78">
        <v>88</v>
      </c>
      <c r="C31" s="77">
        <f t="shared" si="14"/>
        <v>4.4270619908210529</v>
      </c>
      <c r="D31" s="77">
        <f t="shared" si="0"/>
        <v>2.6713920310877199</v>
      </c>
      <c r="E31" s="77">
        <f t="shared" si="1"/>
        <v>1.4705136248701758</v>
      </c>
      <c r="F31" s="77">
        <f t="shared" si="2"/>
        <v>0.94665258919298267</v>
      </c>
      <c r="G31" s="77">
        <f t="shared" si="3"/>
        <v>0.61872207135438606</v>
      </c>
      <c r="H31" s="77">
        <f t="shared" si="4"/>
        <v>0.39082629459649132</v>
      </c>
      <c r="I31" s="77">
        <f t="shared" si="5"/>
        <v>0.30884366513684219</v>
      </c>
      <c r="J31" s="77">
        <f t="shared" si="15"/>
        <v>0.19489577675789482</v>
      </c>
      <c r="K31" s="272">
        <f>+B31*(('Step 2 - Transformer Sizing'!$R$22*0.9)+('Step 2 - Transformer Sizing'!$R$23*SIN(ACOS(0.9))))/240*100</f>
        <v>0</v>
      </c>
      <c r="L31" s="77">
        <f t="shared" si="6"/>
        <v>3.4335778612227372</v>
      </c>
      <c r="M31" s="77">
        <f t="shared" si="7"/>
        <v>2.1883027249740352</v>
      </c>
      <c r="N31" s="77">
        <f t="shared" si="8"/>
        <v>1.4104616827416143</v>
      </c>
      <c r="O31" s="77">
        <f t="shared" si="9"/>
        <v>0.73810793613614034</v>
      </c>
      <c r="P31" s="77">
        <f t="shared" si="10"/>
        <v>1.1430582086335441</v>
      </c>
      <c r="Q31" s="77">
        <f t="shared" si="11"/>
        <v>0.74884272497403515</v>
      </c>
      <c r="R31" s="77">
        <f t="shared" si="12"/>
        <v>0.48720446202807027</v>
      </c>
      <c r="S31" s="77">
        <f t="shared" si="13"/>
        <v>0.36584724131452639</v>
      </c>
    </row>
    <row r="32" spans="1:19" ht="14.25" x14ac:dyDescent="0.2">
      <c r="A32" s="79">
        <v>22</v>
      </c>
      <c r="B32" s="78">
        <v>92</v>
      </c>
      <c r="C32" s="77">
        <f t="shared" si="14"/>
        <v>4.6282920813129191</v>
      </c>
      <c r="D32" s="77">
        <f t="shared" si="0"/>
        <v>2.7928189415917073</v>
      </c>
      <c r="E32" s="77">
        <f t="shared" si="1"/>
        <v>1.5373551532733656</v>
      </c>
      <c r="F32" s="77">
        <f t="shared" si="2"/>
        <v>0.98968225233811813</v>
      </c>
      <c r="G32" s="77">
        <f t="shared" si="3"/>
        <v>0.64684580187049456</v>
      </c>
      <c r="H32" s="77">
        <f t="shared" si="4"/>
        <v>0.40859112616905913</v>
      </c>
      <c r="I32" s="77">
        <f t="shared" si="5"/>
        <v>0.32288201355215318</v>
      </c>
      <c r="J32" s="77">
        <f t="shared" si="15"/>
        <v>0.20375467570143546</v>
      </c>
      <c r="K32" s="272">
        <f>+B32*(('Step 2 - Transformer Sizing'!$R$22*0.9)+('Step 2 - Transformer Sizing'!$R$23*SIN(ACOS(0.9))))/240*100</f>
        <v>0</v>
      </c>
      <c r="L32" s="77">
        <f t="shared" si="6"/>
        <v>3.5896495821874068</v>
      </c>
      <c r="M32" s="77">
        <f t="shared" si="7"/>
        <v>2.2877710306546737</v>
      </c>
      <c r="N32" s="77">
        <f t="shared" si="8"/>
        <v>1.4745735774116875</v>
      </c>
      <c r="O32" s="77">
        <f t="shared" si="9"/>
        <v>0.77165829686960141</v>
      </c>
      <c r="P32" s="77">
        <f t="shared" si="10"/>
        <v>1.1950153999350688</v>
      </c>
      <c r="Q32" s="77">
        <f t="shared" si="11"/>
        <v>0.78288103065467307</v>
      </c>
      <c r="R32" s="77">
        <f t="shared" si="12"/>
        <v>0.50935011939298258</v>
      </c>
      <c r="S32" s="77">
        <f t="shared" si="13"/>
        <v>0.3824766613742776</v>
      </c>
    </row>
    <row r="33" spans="1:19" ht="14.25" x14ac:dyDescent="0.2">
      <c r="A33" s="79">
        <v>23</v>
      </c>
      <c r="B33" s="78">
        <v>96</v>
      </c>
      <c r="C33" s="77">
        <f t="shared" si="14"/>
        <v>4.8295221718047854</v>
      </c>
      <c r="D33" s="77">
        <f t="shared" si="0"/>
        <v>2.9142458520956942</v>
      </c>
      <c r="E33" s="77">
        <f t="shared" si="1"/>
        <v>1.6041966816765556</v>
      </c>
      <c r="F33" s="77">
        <f t="shared" si="2"/>
        <v>1.0327119154832538</v>
      </c>
      <c r="G33" s="77">
        <f t="shared" si="3"/>
        <v>0.67496953238660307</v>
      </c>
      <c r="H33" s="77">
        <f t="shared" si="4"/>
        <v>0.42635595774162688</v>
      </c>
      <c r="I33" s="77">
        <f t="shared" si="5"/>
        <v>0.33692036196746417</v>
      </c>
      <c r="J33" s="77">
        <f t="shared" si="15"/>
        <v>0.21261357464497618</v>
      </c>
      <c r="K33" s="272">
        <f>+B33*(('Step 2 - Transformer Sizing'!$R$22*0.9)+('Step 2 - Transformer Sizing'!$R$23*SIN(ACOS(0.9))))/240*100</f>
        <v>0</v>
      </c>
      <c r="L33" s="77">
        <f t="shared" si="6"/>
        <v>3.7457213031520769</v>
      </c>
      <c r="M33" s="77">
        <f t="shared" si="7"/>
        <v>2.3872393363353113</v>
      </c>
      <c r="N33" s="77">
        <f t="shared" si="8"/>
        <v>1.5386854720817611</v>
      </c>
      <c r="O33" s="77">
        <f t="shared" si="9"/>
        <v>0.80520865760306226</v>
      </c>
      <c r="P33" s="77">
        <f t="shared" si="10"/>
        <v>1.2469725912365937</v>
      </c>
      <c r="Q33" s="77">
        <f t="shared" si="11"/>
        <v>0.81691933633531111</v>
      </c>
      <c r="R33" s="77">
        <f t="shared" si="12"/>
        <v>0.53149577675789483</v>
      </c>
      <c r="S33" s="77">
        <f t="shared" si="13"/>
        <v>0.39910608143402881</v>
      </c>
    </row>
    <row r="34" spans="1:19" ht="14.25" x14ac:dyDescent="0.2">
      <c r="A34" s="79">
        <v>24</v>
      </c>
      <c r="B34" s="78">
        <v>100</v>
      </c>
      <c r="C34" s="77">
        <f t="shared" si="14"/>
        <v>5.0307522622966516</v>
      </c>
      <c r="D34" s="77">
        <f t="shared" si="0"/>
        <v>3.0356727625996816</v>
      </c>
      <c r="E34" s="77">
        <f t="shared" si="1"/>
        <v>1.6710382100797454</v>
      </c>
      <c r="F34" s="77">
        <f t="shared" si="2"/>
        <v>1.0757415786283893</v>
      </c>
      <c r="G34" s="77">
        <f t="shared" si="3"/>
        <v>0.70309326290271146</v>
      </c>
      <c r="H34" s="77">
        <f t="shared" si="4"/>
        <v>0.44412078931419474</v>
      </c>
      <c r="I34" s="77">
        <f t="shared" si="5"/>
        <v>0.35095871038277521</v>
      </c>
      <c r="J34" s="77">
        <f t="shared" si="15"/>
        <v>0.22147247358851682</v>
      </c>
      <c r="K34" s="272">
        <f>+B34*(('Step 2 - Transformer Sizing'!$R$22*0.9)+('Step 2 - Transformer Sizing'!$R$23*SIN(ACOS(0.9))))/240*100</f>
        <v>0</v>
      </c>
      <c r="L34" s="77">
        <f t="shared" si="6"/>
        <v>3.9017930241167473</v>
      </c>
      <c r="M34" s="77">
        <f t="shared" si="7"/>
        <v>2.4867076420159497</v>
      </c>
      <c r="N34" s="77">
        <f t="shared" si="8"/>
        <v>1.6027973667518343</v>
      </c>
      <c r="O34" s="77">
        <f t="shared" si="9"/>
        <v>0.83875901833652333</v>
      </c>
      <c r="P34" s="77">
        <f t="shared" si="10"/>
        <v>1.2989297825381183</v>
      </c>
      <c r="Q34" s="77">
        <f t="shared" si="11"/>
        <v>0.85095764201594903</v>
      </c>
      <c r="R34" s="77">
        <f t="shared" si="12"/>
        <v>0.5536414341228072</v>
      </c>
      <c r="S34" s="77">
        <f t="shared" si="13"/>
        <v>0.41573550149377997</v>
      </c>
    </row>
    <row r="35" spans="1:19" ht="14.25" x14ac:dyDescent="0.2">
      <c r="A35" s="79">
        <v>25</v>
      </c>
      <c r="B35" s="78">
        <v>104</v>
      </c>
      <c r="C35" s="77">
        <f t="shared" si="14"/>
        <v>5.2319823527885179</v>
      </c>
      <c r="D35" s="77">
        <f t="shared" si="0"/>
        <v>3.1570996731036685</v>
      </c>
      <c r="E35" s="77">
        <f t="shared" si="1"/>
        <v>1.737879738482935</v>
      </c>
      <c r="F35" s="77">
        <f t="shared" si="2"/>
        <v>1.1187712417735249</v>
      </c>
      <c r="G35" s="77">
        <f t="shared" si="3"/>
        <v>0.73121699341881985</v>
      </c>
      <c r="H35" s="77">
        <f t="shared" si="4"/>
        <v>0.46188562088676249</v>
      </c>
      <c r="I35" s="77">
        <f t="shared" si="5"/>
        <v>0.36499705879808619</v>
      </c>
      <c r="J35" s="77">
        <f t="shared" si="15"/>
        <v>0.23033137253205752</v>
      </c>
      <c r="K35" s="272">
        <f>+B35*(('Step 2 - Transformer Sizing'!$R$22*0.9)+('Step 2 - Transformer Sizing'!$R$23*SIN(ACOS(0.9))))/240*100</f>
        <v>0</v>
      </c>
      <c r="L35" s="77">
        <f t="shared" si="6"/>
        <v>4.0578647450814165</v>
      </c>
      <c r="M35" s="77">
        <f t="shared" si="7"/>
        <v>2.5861759476965873</v>
      </c>
      <c r="N35" s="77">
        <f t="shared" si="8"/>
        <v>1.6669092614219079</v>
      </c>
      <c r="O35" s="77">
        <f t="shared" si="9"/>
        <v>0.87230937906998418</v>
      </c>
      <c r="P35" s="77">
        <f t="shared" si="10"/>
        <v>1.350886973839643</v>
      </c>
      <c r="Q35" s="77">
        <f t="shared" si="11"/>
        <v>0.88499594769658707</v>
      </c>
      <c r="R35" s="77">
        <f t="shared" si="12"/>
        <v>0.57578709148771945</v>
      </c>
      <c r="S35" s="77">
        <f t="shared" si="13"/>
        <v>0.43236492155353118</v>
      </c>
    </row>
    <row r="36" spans="1:19" ht="14.25" x14ac:dyDescent="0.2">
      <c r="A36" s="79">
        <v>26</v>
      </c>
      <c r="B36" s="78">
        <v>108</v>
      </c>
      <c r="C36" s="77">
        <f t="shared" si="14"/>
        <v>5.4332124432803841</v>
      </c>
      <c r="D36" s="77">
        <f t="shared" si="0"/>
        <v>3.2785265836076563</v>
      </c>
      <c r="E36" s="77">
        <f t="shared" si="1"/>
        <v>1.8047212668861248</v>
      </c>
      <c r="F36" s="77">
        <f t="shared" si="2"/>
        <v>1.1618009049186606</v>
      </c>
      <c r="G36" s="77">
        <f t="shared" si="3"/>
        <v>0.75934072393492835</v>
      </c>
      <c r="H36" s="77">
        <f t="shared" si="4"/>
        <v>0.4796504524593303</v>
      </c>
      <c r="I36" s="77">
        <f t="shared" si="5"/>
        <v>0.37903540721339724</v>
      </c>
      <c r="J36" s="77">
        <f t="shared" si="15"/>
        <v>0.23919027147559818</v>
      </c>
      <c r="K36" s="272">
        <f>+B36*(('Step 2 - Transformer Sizing'!$R$22*0.9)+('Step 2 - Transformer Sizing'!$R$23*SIN(ACOS(0.9))))/240*100</f>
        <v>0</v>
      </c>
      <c r="L36" s="77">
        <f t="shared" si="6"/>
        <v>4.2139364660460865</v>
      </c>
      <c r="M36" s="77">
        <f t="shared" si="7"/>
        <v>2.6856442533772253</v>
      </c>
      <c r="N36" s="77">
        <f t="shared" si="8"/>
        <v>1.7310211560919813</v>
      </c>
      <c r="O36" s="77">
        <f t="shared" si="9"/>
        <v>0.90585973980344503</v>
      </c>
      <c r="P36" s="77">
        <f t="shared" si="10"/>
        <v>1.4028441651411678</v>
      </c>
      <c r="Q36" s="77">
        <f t="shared" si="11"/>
        <v>0.91903425337722489</v>
      </c>
      <c r="R36" s="77">
        <f t="shared" si="12"/>
        <v>0.5979327488526317</v>
      </c>
      <c r="S36" s="77">
        <f t="shared" si="13"/>
        <v>0.44899434161328239</v>
      </c>
    </row>
    <row r="37" spans="1:19" ht="14.25" x14ac:dyDescent="0.2">
      <c r="A37" s="79">
        <v>27</v>
      </c>
      <c r="B37" s="78">
        <v>113</v>
      </c>
      <c r="C37" s="77">
        <f t="shared" si="14"/>
        <v>5.6847500563952158</v>
      </c>
      <c r="D37" s="77">
        <f t="shared" si="0"/>
        <v>3.4303102217376402</v>
      </c>
      <c r="E37" s="77">
        <f t="shared" si="1"/>
        <v>1.888273177390112</v>
      </c>
      <c r="F37" s="77">
        <f t="shared" si="2"/>
        <v>1.21558798385008</v>
      </c>
      <c r="G37" s="77">
        <f t="shared" si="3"/>
        <v>0.79449538708006395</v>
      </c>
      <c r="H37" s="77">
        <f t="shared" si="4"/>
        <v>0.50185649192504</v>
      </c>
      <c r="I37" s="77">
        <f t="shared" si="5"/>
        <v>0.39658334273253604</v>
      </c>
      <c r="J37" s="77">
        <f t="shared" si="15"/>
        <v>0.25026389515502401</v>
      </c>
      <c r="K37" s="272">
        <f>+B37*(('Step 2 - Transformer Sizing'!$R$22*0.9)+('Step 2 - Transformer Sizing'!$R$23*SIN(ACOS(0.9))))/240*100</f>
        <v>0</v>
      </c>
      <c r="L37" s="77">
        <f t="shared" si="6"/>
        <v>4.4090261172519245</v>
      </c>
      <c r="M37" s="77">
        <f t="shared" si="7"/>
        <v>2.8099796354780224</v>
      </c>
      <c r="N37" s="77">
        <f t="shared" si="8"/>
        <v>1.8111610244295731</v>
      </c>
      <c r="O37" s="77">
        <f t="shared" si="9"/>
        <v>0.94779769072027109</v>
      </c>
      <c r="P37" s="77">
        <f t="shared" si="10"/>
        <v>1.4677906542680734</v>
      </c>
      <c r="Q37" s="77">
        <f t="shared" si="11"/>
        <v>0.9615821354780224</v>
      </c>
      <c r="R37" s="77">
        <f t="shared" si="12"/>
        <v>0.62561482055877204</v>
      </c>
      <c r="S37" s="77">
        <f t="shared" si="13"/>
        <v>0.46978111668797135</v>
      </c>
    </row>
    <row r="38" spans="1:19" ht="14.25" x14ac:dyDescent="0.2">
      <c r="A38" s="79">
        <v>28</v>
      </c>
      <c r="B38" s="78">
        <v>117</v>
      </c>
      <c r="C38" s="77">
        <f t="shared" si="14"/>
        <v>5.885980146887082</v>
      </c>
      <c r="D38" s="77">
        <f t="shared" si="0"/>
        <v>3.5517371322416271</v>
      </c>
      <c r="E38" s="77">
        <f t="shared" si="1"/>
        <v>1.955114705793302</v>
      </c>
      <c r="F38" s="77">
        <f t="shared" si="2"/>
        <v>1.2586176469952157</v>
      </c>
      <c r="G38" s="77">
        <f t="shared" si="3"/>
        <v>0.82261911759617234</v>
      </c>
      <c r="H38" s="77">
        <f t="shared" si="4"/>
        <v>0.5196213234976077</v>
      </c>
      <c r="I38" s="77">
        <f t="shared" si="5"/>
        <v>0.41062169114784702</v>
      </c>
      <c r="J38" s="77">
        <f t="shared" si="15"/>
        <v>0.2591227940985647</v>
      </c>
      <c r="K38" s="272">
        <f>+B38*(('Step 2 - Transformer Sizing'!$R$22*0.9)+('Step 2 - Transformer Sizing'!$R$23*SIN(ACOS(0.9))))/240*100</f>
        <v>0</v>
      </c>
      <c r="L38" s="77">
        <f t="shared" si="6"/>
        <v>4.5650978382165937</v>
      </c>
      <c r="M38" s="77">
        <f t="shared" si="7"/>
        <v>2.9094479411586609</v>
      </c>
      <c r="N38" s="77">
        <f t="shared" si="8"/>
        <v>1.8752729190996464</v>
      </c>
      <c r="O38" s="77">
        <f t="shared" si="9"/>
        <v>0.98134805145373216</v>
      </c>
      <c r="P38" s="77">
        <f t="shared" si="10"/>
        <v>1.5197478455695985</v>
      </c>
      <c r="Q38" s="77">
        <f t="shared" si="11"/>
        <v>0.99562044115866033</v>
      </c>
      <c r="R38" s="77">
        <f t="shared" si="12"/>
        <v>0.6477604779236843</v>
      </c>
      <c r="S38" s="77">
        <f t="shared" si="13"/>
        <v>0.48641053674772255</v>
      </c>
    </row>
    <row r="39" spans="1:19" ht="14.25" x14ac:dyDescent="0.2">
      <c r="A39" s="79">
        <v>29</v>
      </c>
      <c r="B39" s="78">
        <v>121</v>
      </c>
      <c r="C39" s="77">
        <f t="shared" si="14"/>
        <v>6.0872102373789483</v>
      </c>
      <c r="D39" s="77">
        <f t="shared" si="0"/>
        <v>3.6731640427456149</v>
      </c>
      <c r="E39" s="77">
        <f t="shared" si="1"/>
        <v>2.0219562341964918</v>
      </c>
      <c r="F39" s="77">
        <f t="shared" si="2"/>
        <v>1.3016473101403514</v>
      </c>
      <c r="G39" s="77">
        <f t="shared" si="3"/>
        <v>0.85074284811228096</v>
      </c>
      <c r="H39" s="77">
        <f t="shared" si="4"/>
        <v>0.53738615507017551</v>
      </c>
      <c r="I39" s="77">
        <f t="shared" si="5"/>
        <v>0.42466003956315801</v>
      </c>
      <c r="J39" s="77">
        <f t="shared" si="15"/>
        <v>0.2679816930421054</v>
      </c>
      <c r="K39" s="272">
        <f>+B39*(('Step 2 - Transformer Sizing'!$R$22*0.9)+('Step 2 - Transformer Sizing'!$R$23*SIN(ACOS(0.9))))/240*100</f>
        <v>0</v>
      </c>
      <c r="L39" s="77">
        <f t="shared" si="6"/>
        <v>4.7211695591812628</v>
      </c>
      <c r="M39" s="77">
        <f t="shared" si="7"/>
        <v>3.0089162468392985</v>
      </c>
      <c r="N39" s="77">
        <f t="shared" si="8"/>
        <v>1.9393848137697196</v>
      </c>
      <c r="O39" s="77">
        <f t="shared" si="9"/>
        <v>1.0148984121871931</v>
      </c>
      <c r="P39" s="77">
        <f t="shared" si="10"/>
        <v>1.5717050368711232</v>
      </c>
      <c r="Q39" s="77">
        <f t="shared" si="11"/>
        <v>1.0296587468392984</v>
      </c>
      <c r="R39" s="77">
        <f t="shared" si="12"/>
        <v>0.66990613528859666</v>
      </c>
      <c r="S39" s="77">
        <f t="shared" si="13"/>
        <v>0.50303995680747393</v>
      </c>
    </row>
    <row r="40" spans="1:19" ht="14.25" x14ac:dyDescent="0.2">
      <c r="A40" s="79">
        <v>30</v>
      </c>
      <c r="B40" s="78">
        <v>125</v>
      </c>
      <c r="C40" s="77">
        <f t="shared" si="14"/>
        <v>6.2884403278708145</v>
      </c>
      <c r="D40" s="77">
        <f t="shared" si="0"/>
        <v>3.7945909532496018</v>
      </c>
      <c r="E40" s="77">
        <f t="shared" si="1"/>
        <v>2.0887977625996816</v>
      </c>
      <c r="F40" s="77">
        <f t="shared" si="2"/>
        <v>1.3446769732854869</v>
      </c>
      <c r="G40" s="77">
        <f t="shared" si="3"/>
        <v>0.87886657862838935</v>
      </c>
      <c r="H40" s="77">
        <f t="shared" si="4"/>
        <v>0.55515098664274343</v>
      </c>
      <c r="I40" s="77">
        <f t="shared" si="5"/>
        <v>0.438698387978469</v>
      </c>
      <c r="J40" s="77">
        <f t="shared" si="15"/>
        <v>0.27684059198564603</v>
      </c>
      <c r="K40" s="272">
        <f>+B40*(('Step 2 - Transformer Sizing'!$R$22*0.9)+('Step 2 - Transformer Sizing'!$R$23*SIN(ACOS(0.9))))/240*100</f>
        <v>0</v>
      </c>
      <c r="L40" s="77">
        <f t="shared" si="6"/>
        <v>4.8772412801459337</v>
      </c>
      <c r="M40" s="77">
        <f t="shared" si="7"/>
        <v>3.1083845525199369</v>
      </c>
      <c r="N40" s="77">
        <f t="shared" si="8"/>
        <v>2.0034967084397932</v>
      </c>
      <c r="O40" s="77">
        <f t="shared" si="9"/>
        <v>1.0484487729206542</v>
      </c>
      <c r="P40" s="77">
        <f t="shared" si="10"/>
        <v>1.6236622281726478</v>
      </c>
      <c r="Q40" s="77">
        <f t="shared" si="11"/>
        <v>1.0636970525199363</v>
      </c>
      <c r="R40" s="77">
        <f t="shared" si="12"/>
        <v>0.6920517926535088</v>
      </c>
      <c r="S40" s="77">
        <f t="shared" si="13"/>
        <v>0.51966937686722503</v>
      </c>
    </row>
    <row r="41" spans="1:19" ht="14.25" x14ac:dyDescent="0.2">
      <c r="A41" s="79">
        <v>31</v>
      </c>
      <c r="B41" s="78">
        <v>129</v>
      </c>
      <c r="C41" s="77">
        <f t="shared" si="14"/>
        <v>6.489670418362679</v>
      </c>
      <c r="D41" s="77">
        <f t="shared" si="0"/>
        <v>3.9160178637535887</v>
      </c>
      <c r="E41" s="77">
        <f t="shared" si="1"/>
        <v>2.1556392910028714</v>
      </c>
      <c r="F41" s="77">
        <f t="shared" si="2"/>
        <v>1.3877066364306223</v>
      </c>
      <c r="G41" s="77">
        <f t="shared" si="3"/>
        <v>0.90699030914449774</v>
      </c>
      <c r="H41" s="77">
        <f t="shared" si="4"/>
        <v>0.57291581821531123</v>
      </c>
      <c r="I41" s="77">
        <f t="shared" si="5"/>
        <v>0.45273673639377998</v>
      </c>
      <c r="J41" s="77">
        <f t="shared" si="15"/>
        <v>0.28569949092918667</v>
      </c>
      <c r="K41" s="272">
        <f>+B41*(('Step 2 - Transformer Sizing'!$R$22*0.9)+('Step 2 - Transformer Sizing'!$R$23*SIN(ACOS(0.9))))/240*100</f>
        <v>0</v>
      </c>
      <c r="L41" s="77">
        <f t="shared" si="6"/>
        <v>5.0333130011106038</v>
      </c>
      <c r="M41" s="77">
        <f t="shared" si="7"/>
        <v>3.2078528582005745</v>
      </c>
      <c r="N41" s="77">
        <f t="shared" si="8"/>
        <v>2.0676086031098664</v>
      </c>
      <c r="O41" s="77">
        <f t="shared" si="9"/>
        <v>1.081999133654115</v>
      </c>
      <c r="P41" s="77">
        <f t="shared" si="10"/>
        <v>1.6756194194741725</v>
      </c>
      <c r="Q41" s="77">
        <f t="shared" si="11"/>
        <v>1.0977353582005742</v>
      </c>
      <c r="R41" s="77">
        <f t="shared" si="12"/>
        <v>0.71419745001842116</v>
      </c>
      <c r="S41" s="77">
        <f t="shared" si="13"/>
        <v>0.53629879692697624</v>
      </c>
    </row>
    <row r="42" spans="1:19" ht="14.25" x14ac:dyDescent="0.2">
      <c r="A42" s="79">
        <v>32</v>
      </c>
      <c r="B42" s="78">
        <v>133</v>
      </c>
      <c r="C42" s="77">
        <f t="shared" si="14"/>
        <v>6.690900508854547</v>
      </c>
      <c r="D42" s="77">
        <f t="shared" si="0"/>
        <v>4.037444774257577</v>
      </c>
      <c r="E42" s="77">
        <f t="shared" si="1"/>
        <v>2.2224808194060608</v>
      </c>
      <c r="F42" s="77">
        <f t="shared" si="2"/>
        <v>1.430736299575758</v>
      </c>
      <c r="G42" s="77">
        <f t="shared" si="3"/>
        <v>0.93511403966060613</v>
      </c>
      <c r="H42" s="77">
        <f t="shared" si="4"/>
        <v>0.59068064978787904</v>
      </c>
      <c r="I42" s="77">
        <f t="shared" si="5"/>
        <v>0.46677508480909108</v>
      </c>
      <c r="J42" s="77">
        <f t="shared" si="15"/>
        <v>0.29455838987272737</v>
      </c>
      <c r="K42" s="272">
        <f>+B42*(('Step 2 - Transformer Sizing'!$R$22*0.9)+('Step 2 - Transformer Sizing'!$R$23*SIN(ACOS(0.9))))/240*100</f>
        <v>0</v>
      </c>
      <c r="L42" s="77">
        <f t="shared" si="6"/>
        <v>5.1893847220752738</v>
      </c>
      <c r="M42" s="77">
        <f t="shared" si="7"/>
        <v>3.3073211638812126</v>
      </c>
      <c r="N42" s="77">
        <f t="shared" si="8"/>
        <v>2.1317204977799395</v>
      </c>
      <c r="O42" s="77">
        <f t="shared" si="9"/>
        <v>1.1155494943875761</v>
      </c>
      <c r="P42" s="77">
        <f t="shared" si="10"/>
        <v>1.7275766107756976</v>
      </c>
      <c r="Q42" s="77">
        <f t="shared" si="11"/>
        <v>1.1317736638812121</v>
      </c>
      <c r="R42" s="77">
        <f t="shared" si="12"/>
        <v>0.73634310738333342</v>
      </c>
      <c r="S42" s="77">
        <f t="shared" si="13"/>
        <v>0.55292821698672734</v>
      </c>
    </row>
    <row r="43" spans="1:19" ht="14.25" x14ac:dyDescent="0.2">
      <c r="A43" s="79">
        <v>33</v>
      </c>
      <c r="B43" s="78">
        <v>138</v>
      </c>
      <c r="C43" s="77">
        <f t="shared" si="14"/>
        <v>6.9424381219693787</v>
      </c>
      <c r="D43" s="77">
        <f t="shared" si="0"/>
        <v>4.1892284123875605</v>
      </c>
      <c r="E43" s="77">
        <f t="shared" si="1"/>
        <v>2.306032729910048</v>
      </c>
      <c r="F43" s="77">
        <f t="shared" si="2"/>
        <v>1.4845233785071774</v>
      </c>
      <c r="G43" s="77">
        <f t="shared" si="3"/>
        <v>0.97026870280574173</v>
      </c>
      <c r="H43" s="77">
        <f t="shared" si="4"/>
        <v>0.61288668925358869</v>
      </c>
      <c r="I43" s="77">
        <f t="shared" si="5"/>
        <v>0.48432302032822977</v>
      </c>
      <c r="J43" s="77">
        <f t="shared" si="15"/>
        <v>0.30563201355215325</v>
      </c>
      <c r="K43" s="272">
        <f>+B43*(('Step 2 - Transformer Sizing'!$R$22*0.9)+('Step 2 - Transformer Sizing'!$R$23*SIN(ACOS(0.9))))/240*100</f>
        <v>0</v>
      </c>
      <c r="L43" s="77">
        <f t="shared" si="6"/>
        <v>5.38447437328111</v>
      </c>
      <c r="M43" s="77">
        <f t="shared" si="7"/>
        <v>3.4316565459820101</v>
      </c>
      <c r="N43" s="77">
        <f t="shared" si="8"/>
        <v>2.2118603661175311</v>
      </c>
      <c r="O43" s="77">
        <f t="shared" si="9"/>
        <v>1.1574874453044022</v>
      </c>
      <c r="P43" s="77">
        <f t="shared" si="10"/>
        <v>1.7925230999026032</v>
      </c>
      <c r="Q43" s="77">
        <f t="shared" si="11"/>
        <v>1.1743215459820096</v>
      </c>
      <c r="R43" s="77">
        <f t="shared" si="12"/>
        <v>0.76402517908947387</v>
      </c>
      <c r="S43" s="77">
        <f t="shared" si="13"/>
        <v>0.57371499206141641</v>
      </c>
    </row>
    <row r="44" spans="1:19" ht="14.25" x14ac:dyDescent="0.2">
      <c r="A44" s="79">
        <v>34</v>
      </c>
      <c r="B44" s="78">
        <v>142</v>
      </c>
      <c r="C44" s="77">
        <f t="shared" si="14"/>
        <v>7.1436682124612449</v>
      </c>
      <c r="D44" s="77">
        <f t="shared" si="0"/>
        <v>4.3106553228915478</v>
      </c>
      <c r="E44" s="77">
        <f t="shared" si="1"/>
        <v>2.3728742583132383</v>
      </c>
      <c r="F44" s="77">
        <f t="shared" si="2"/>
        <v>1.5275530416523129</v>
      </c>
      <c r="G44" s="77">
        <f t="shared" si="3"/>
        <v>0.99839243332185035</v>
      </c>
      <c r="H44" s="77">
        <f t="shared" si="4"/>
        <v>0.6306515208261565</v>
      </c>
      <c r="I44" s="77">
        <f t="shared" si="5"/>
        <v>0.49836136874354087</v>
      </c>
      <c r="J44" s="77">
        <f t="shared" si="15"/>
        <v>0.31449091249569394</v>
      </c>
      <c r="K44" s="272">
        <f>+B44*(('Step 2 - Transformer Sizing'!$R$22*0.9)+('Step 2 - Transformer Sizing'!$R$23*SIN(ACOS(0.9))))/240*100</f>
        <v>0</v>
      </c>
      <c r="L44" s="77">
        <f t="shared" si="6"/>
        <v>5.54054609424578</v>
      </c>
      <c r="M44" s="77">
        <f t="shared" si="7"/>
        <v>3.5311248516626481</v>
      </c>
      <c r="N44" s="77">
        <f t="shared" si="8"/>
        <v>2.2759722607876052</v>
      </c>
      <c r="O44" s="77">
        <f t="shared" si="9"/>
        <v>1.191037806037863</v>
      </c>
      <c r="P44" s="77">
        <f t="shared" si="10"/>
        <v>1.8444802912041278</v>
      </c>
      <c r="Q44" s="77">
        <f t="shared" si="11"/>
        <v>1.2083598516626477</v>
      </c>
      <c r="R44" s="77">
        <f t="shared" si="12"/>
        <v>0.78617083645438601</v>
      </c>
      <c r="S44" s="77">
        <f t="shared" si="13"/>
        <v>0.59034441212116762</v>
      </c>
    </row>
    <row r="45" spans="1:19" ht="14.25" x14ac:dyDescent="0.2">
      <c r="A45" s="79">
        <v>35</v>
      </c>
      <c r="B45" s="78">
        <v>146</v>
      </c>
      <c r="C45" s="77">
        <f t="shared" si="14"/>
        <v>7.3448983029531112</v>
      </c>
      <c r="D45" s="77">
        <f t="shared" si="0"/>
        <v>4.4320822333955352</v>
      </c>
      <c r="E45" s="77">
        <f t="shared" si="1"/>
        <v>2.4397157867164281</v>
      </c>
      <c r="F45" s="77">
        <f t="shared" si="2"/>
        <v>1.5705827047974483</v>
      </c>
      <c r="G45" s="77">
        <f t="shared" si="3"/>
        <v>1.0265161638379587</v>
      </c>
      <c r="H45" s="77">
        <f t="shared" si="4"/>
        <v>0.6484163523987243</v>
      </c>
      <c r="I45" s="77">
        <f t="shared" si="5"/>
        <v>0.5123997171588518</v>
      </c>
      <c r="J45" s="77">
        <f t="shared" si="15"/>
        <v>0.32334981143923452</v>
      </c>
      <c r="K45" s="272">
        <f>+B45*(('Step 2 - Transformer Sizing'!$R$22*0.9)+('Step 2 - Transformer Sizing'!$R$23*SIN(ACOS(0.9))))/240*100</f>
        <v>0</v>
      </c>
      <c r="L45" s="77">
        <f t="shared" si="6"/>
        <v>5.6966178152104501</v>
      </c>
      <c r="M45" s="77">
        <f t="shared" si="7"/>
        <v>3.6305931573432861</v>
      </c>
      <c r="N45" s="77">
        <f t="shared" si="8"/>
        <v>2.3400841554576783</v>
      </c>
      <c r="O45" s="77">
        <f t="shared" si="9"/>
        <v>1.2245881667713239</v>
      </c>
      <c r="P45" s="77">
        <f t="shared" si="10"/>
        <v>1.8964374825056525</v>
      </c>
      <c r="Q45" s="77">
        <f t="shared" si="11"/>
        <v>1.2423981573432856</v>
      </c>
      <c r="R45" s="77">
        <f t="shared" si="12"/>
        <v>0.80831649381929838</v>
      </c>
      <c r="S45" s="77">
        <f t="shared" si="13"/>
        <v>0.60697383218091872</v>
      </c>
    </row>
    <row r="46" spans="1:19" ht="14.25" x14ac:dyDescent="0.2">
      <c r="A46" s="79">
        <v>36</v>
      </c>
      <c r="B46" s="78">
        <v>150</v>
      </c>
      <c r="C46" s="77">
        <f t="shared" si="14"/>
        <v>7.5461283934449774</v>
      </c>
      <c r="D46" s="77">
        <f t="shared" si="0"/>
        <v>4.5535091438995225</v>
      </c>
      <c r="E46" s="77">
        <f t="shared" si="1"/>
        <v>2.5065573151196179</v>
      </c>
      <c r="F46" s="77">
        <f t="shared" si="2"/>
        <v>1.613612367942584</v>
      </c>
      <c r="G46" s="77">
        <f t="shared" si="3"/>
        <v>1.0546398943540671</v>
      </c>
      <c r="H46" s="77">
        <f t="shared" si="4"/>
        <v>0.666181183971292</v>
      </c>
      <c r="I46" s="77">
        <f t="shared" si="5"/>
        <v>0.52643806557416273</v>
      </c>
      <c r="J46" s="77">
        <f t="shared" si="15"/>
        <v>0.33220871038277522</v>
      </c>
      <c r="K46" s="272">
        <f>+B46*(('Step 2 - Transformer Sizing'!$R$22*0.9)+('Step 2 - Transformer Sizing'!$R$23*SIN(ACOS(0.9))))/240*100</f>
        <v>0</v>
      </c>
      <c r="L46" s="77">
        <f t="shared" si="6"/>
        <v>5.8526895361751201</v>
      </c>
      <c r="M46" s="77">
        <f t="shared" si="7"/>
        <v>3.7300614630239246</v>
      </c>
      <c r="N46" s="77">
        <f t="shared" si="8"/>
        <v>2.4041960501277515</v>
      </c>
      <c r="O46" s="77">
        <f t="shared" si="9"/>
        <v>1.2581385275047847</v>
      </c>
      <c r="P46" s="77">
        <f t="shared" si="10"/>
        <v>1.9483946738071776</v>
      </c>
      <c r="Q46" s="77">
        <f t="shared" si="11"/>
        <v>1.2764364630239238</v>
      </c>
      <c r="R46" s="77">
        <f t="shared" si="12"/>
        <v>0.83046215118421063</v>
      </c>
      <c r="S46" s="77">
        <f t="shared" si="13"/>
        <v>0.62360325224067004</v>
      </c>
    </row>
    <row r="47" spans="1:19" ht="14.25" x14ac:dyDescent="0.2">
      <c r="A47" s="79">
        <v>37</v>
      </c>
      <c r="B47" s="78">
        <v>154</v>
      </c>
      <c r="C47" s="77">
        <f t="shared" si="14"/>
        <v>7.7473584839368437</v>
      </c>
      <c r="D47" s="77">
        <f t="shared" si="0"/>
        <v>4.6749360544035099</v>
      </c>
      <c r="E47" s="77">
        <f t="shared" si="1"/>
        <v>2.5733988435228077</v>
      </c>
      <c r="F47" s="77">
        <f t="shared" si="2"/>
        <v>1.6566420310877197</v>
      </c>
      <c r="G47" s="77">
        <f t="shared" si="3"/>
        <v>1.0827636248701757</v>
      </c>
      <c r="H47" s="77">
        <f t="shared" si="4"/>
        <v>0.68394601554385981</v>
      </c>
      <c r="I47" s="77">
        <f t="shared" si="5"/>
        <v>0.54047641398947388</v>
      </c>
      <c r="J47" s="77">
        <f t="shared" si="15"/>
        <v>0.34106760932631597</v>
      </c>
      <c r="K47" s="272">
        <f>+B47*(('Step 2 - Transformer Sizing'!$R$22*0.9)+('Step 2 - Transformer Sizing'!$R$23*SIN(ACOS(0.9))))/240*100</f>
        <v>0</v>
      </c>
      <c r="L47" s="77">
        <f t="shared" si="6"/>
        <v>6.008761257139791</v>
      </c>
      <c r="M47" s="77">
        <f t="shared" si="7"/>
        <v>3.8295297687045622</v>
      </c>
      <c r="N47" s="77">
        <f t="shared" si="8"/>
        <v>2.4683079447978251</v>
      </c>
      <c r="O47" s="77">
        <f t="shared" si="9"/>
        <v>1.2916888882382458</v>
      </c>
      <c r="P47" s="77">
        <f t="shared" si="10"/>
        <v>2.0003518651087018</v>
      </c>
      <c r="Q47" s="77">
        <f t="shared" si="11"/>
        <v>1.3104747687045615</v>
      </c>
      <c r="R47" s="77">
        <f t="shared" si="12"/>
        <v>0.85260780854912277</v>
      </c>
      <c r="S47" s="77">
        <f t="shared" si="13"/>
        <v>0.64023267230042125</v>
      </c>
    </row>
    <row r="48" spans="1:19" ht="14.25" x14ac:dyDescent="0.2">
      <c r="A48" s="79">
        <v>38</v>
      </c>
      <c r="B48" s="78">
        <v>158</v>
      </c>
      <c r="C48" s="77">
        <f t="shared" si="14"/>
        <v>7.9485885744287099</v>
      </c>
      <c r="D48" s="77">
        <f t="shared" si="0"/>
        <v>4.7963629649074964</v>
      </c>
      <c r="E48" s="77">
        <f t="shared" si="1"/>
        <v>2.640240371925997</v>
      </c>
      <c r="F48" s="77">
        <f t="shared" si="2"/>
        <v>1.6996716942328554</v>
      </c>
      <c r="G48" s="77">
        <f t="shared" si="3"/>
        <v>1.1108873553862841</v>
      </c>
      <c r="H48" s="77">
        <f t="shared" si="4"/>
        <v>0.70171084711642762</v>
      </c>
      <c r="I48" s="77">
        <f t="shared" si="5"/>
        <v>0.5545147624047847</v>
      </c>
      <c r="J48" s="77">
        <f t="shared" si="15"/>
        <v>0.34992650826985661</v>
      </c>
      <c r="K48" s="272">
        <f>+B48*(('Step 2 - Transformer Sizing'!$R$22*0.9)+('Step 2 - Transformer Sizing'!$R$23*SIN(ACOS(0.9))))/240*100</f>
        <v>0</v>
      </c>
      <c r="L48" s="77">
        <f t="shared" si="6"/>
        <v>6.1648329781044602</v>
      </c>
      <c r="M48" s="77">
        <f t="shared" si="7"/>
        <v>3.9289980743852002</v>
      </c>
      <c r="N48" s="77">
        <f t="shared" si="8"/>
        <v>2.5324198394678983</v>
      </c>
      <c r="O48" s="77">
        <f t="shared" si="9"/>
        <v>1.3252392489717066</v>
      </c>
      <c r="P48" s="77">
        <f t="shared" si="10"/>
        <v>2.0523090564102269</v>
      </c>
      <c r="Q48" s="77">
        <f t="shared" si="11"/>
        <v>1.3445130743851996</v>
      </c>
      <c r="R48" s="77">
        <f t="shared" si="12"/>
        <v>0.87475346591403524</v>
      </c>
      <c r="S48" s="77">
        <f t="shared" si="13"/>
        <v>0.65686209236017234</v>
      </c>
    </row>
    <row r="49" spans="1:19" ht="14.25" x14ac:dyDescent="0.2">
      <c r="A49" s="79">
        <v>39</v>
      </c>
      <c r="B49" s="78">
        <v>163</v>
      </c>
      <c r="C49" s="77">
        <f t="shared" si="14"/>
        <v>8.2001261875435407</v>
      </c>
      <c r="D49" s="77">
        <f t="shared" si="0"/>
        <v>4.9481466030374808</v>
      </c>
      <c r="E49" s="77">
        <f t="shared" si="1"/>
        <v>2.7237922824299843</v>
      </c>
      <c r="F49" s="77">
        <f t="shared" si="2"/>
        <v>1.7534587731642748</v>
      </c>
      <c r="G49" s="77">
        <f t="shared" si="3"/>
        <v>1.1460420185314197</v>
      </c>
      <c r="H49" s="77">
        <f t="shared" si="4"/>
        <v>0.72391688658213738</v>
      </c>
      <c r="I49" s="77">
        <f t="shared" si="5"/>
        <v>0.57206269792392361</v>
      </c>
      <c r="J49" s="77">
        <f t="shared" si="15"/>
        <v>0.36100013194928243</v>
      </c>
      <c r="K49" s="272">
        <f>+B49*(('Step 2 - Transformer Sizing'!$R$22*0.9)+('Step 2 - Transformer Sizing'!$R$23*SIN(ACOS(0.9))))/240*100</f>
        <v>0</v>
      </c>
      <c r="L49" s="77">
        <f t="shared" si="6"/>
        <v>6.3599226293102964</v>
      </c>
      <c r="M49" s="77">
        <f t="shared" si="7"/>
        <v>4.0533334564859977</v>
      </c>
      <c r="N49" s="77">
        <f t="shared" si="8"/>
        <v>2.6125597078054903</v>
      </c>
      <c r="O49" s="77">
        <f t="shared" si="9"/>
        <v>1.3671771998885329</v>
      </c>
      <c r="P49" s="77">
        <f t="shared" si="10"/>
        <v>2.1172555455371325</v>
      </c>
      <c r="Q49" s="77">
        <f t="shared" si="11"/>
        <v>1.387060956485997</v>
      </c>
      <c r="R49" s="77">
        <f t="shared" si="12"/>
        <v>0.90243553762017548</v>
      </c>
      <c r="S49" s="77">
        <f t="shared" si="13"/>
        <v>0.67764886743486141</v>
      </c>
    </row>
    <row r="50" spans="1:19" ht="14.25" x14ac:dyDescent="0.2">
      <c r="A50" s="79">
        <v>40</v>
      </c>
      <c r="B50" s="78">
        <v>167</v>
      </c>
      <c r="C50" s="77">
        <f t="shared" si="14"/>
        <v>8.4013562780354079</v>
      </c>
      <c r="D50" s="77">
        <f t="shared" si="0"/>
        <v>5.0695735135414681</v>
      </c>
      <c r="E50" s="77">
        <f t="shared" si="1"/>
        <v>2.7906338108331745</v>
      </c>
      <c r="F50" s="77">
        <f t="shared" si="2"/>
        <v>1.7964884363094105</v>
      </c>
      <c r="G50" s="77">
        <f t="shared" si="3"/>
        <v>1.1741657490475281</v>
      </c>
      <c r="H50" s="77">
        <f t="shared" si="4"/>
        <v>0.74168171815470507</v>
      </c>
      <c r="I50" s="77">
        <f t="shared" si="5"/>
        <v>0.58610104633923465</v>
      </c>
      <c r="J50" s="77">
        <f t="shared" si="15"/>
        <v>0.36985903089282307</v>
      </c>
      <c r="K50" s="272">
        <f>+B50*(('Step 2 - Transformer Sizing'!$R$22*0.9)+('Step 2 - Transformer Sizing'!$R$23*SIN(ACOS(0.9))))/240*100</f>
        <v>0</v>
      </c>
      <c r="L50" s="77">
        <f t="shared" si="6"/>
        <v>6.5159943502749673</v>
      </c>
      <c r="M50" s="77">
        <f t="shared" si="7"/>
        <v>4.1528017621666358</v>
      </c>
      <c r="N50" s="77">
        <f t="shared" si="8"/>
        <v>2.6766716024755635</v>
      </c>
      <c r="O50" s="77">
        <f t="shared" si="9"/>
        <v>1.4007275606219938</v>
      </c>
      <c r="P50" s="77">
        <f t="shared" si="10"/>
        <v>2.1692127368386571</v>
      </c>
      <c r="Q50" s="77">
        <f t="shared" si="11"/>
        <v>1.4210992621666352</v>
      </c>
      <c r="R50" s="77">
        <f t="shared" si="12"/>
        <v>0.92458119498508795</v>
      </c>
      <c r="S50" s="77">
        <f t="shared" si="13"/>
        <v>0.69427828749461262</v>
      </c>
    </row>
    <row r="51" spans="1:19" ht="14.25" x14ac:dyDescent="0.2">
      <c r="A51" s="79">
        <v>41</v>
      </c>
      <c r="B51" s="78">
        <v>171</v>
      </c>
      <c r="C51" s="77">
        <f t="shared" si="14"/>
        <v>8.6025863685272732</v>
      </c>
      <c r="D51" s="77">
        <f t="shared" si="0"/>
        <v>5.1910004240454555</v>
      </c>
      <c r="E51" s="77">
        <f t="shared" si="1"/>
        <v>2.8574753392363643</v>
      </c>
      <c r="F51" s="77">
        <f t="shared" si="2"/>
        <v>1.8395180994545461</v>
      </c>
      <c r="G51" s="77">
        <f t="shared" si="3"/>
        <v>1.2022894795636365</v>
      </c>
      <c r="H51" s="77">
        <f t="shared" si="4"/>
        <v>0.75944654972727299</v>
      </c>
      <c r="I51" s="77">
        <f t="shared" si="5"/>
        <v>0.60013939475454559</v>
      </c>
      <c r="J51" s="77">
        <f t="shared" si="15"/>
        <v>0.37871792983636382</v>
      </c>
      <c r="K51" s="272">
        <f>+B51*(('Step 2 - Transformer Sizing'!$R$22*0.9)+('Step 2 - Transformer Sizing'!$R$23*SIN(ACOS(0.9))))/240*100</f>
        <v>0</v>
      </c>
      <c r="L51" s="77">
        <f t="shared" si="6"/>
        <v>6.6720660712396382</v>
      </c>
      <c r="M51" s="77">
        <f t="shared" si="7"/>
        <v>4.2522700678472729</v>
      </c>
      <c r="N51" s="77">
        <f t="shared" si="8"/>
        <v>2.7407834971456371</v>
      </c>
      <c r="O51" s="77">
        <f t="shared" si="9"/>
        <v>1.4342779213554546</v>
      </c>
      <c r="P51" s="77">
        <f t="shared" si="10"/>
        <v>2.2211699281401822</v>
      </c>
      <c r="Q51" s="77">
        <f t="shared" si="11"/>
        <v>1.4551375678472729</v>
      </c>
      <c r="R51" s="77">
        <f t="shared" si="12"/>
        <v>0.94672685235000009</v>
      </c>
      <c r="S51" s="77">
        <f t="shared" si="13"/>
        <v>0.71090770755436372</v>
      </c>
    </row>
    <row r="52" spans="1:19" ht="14.25" x14ac:dyDescent="0.2">
      <c r="A52" s="79">
        <v>42</v>
      </c>
      <c r="B52" s="78">
        <v>175</v>
      </c>
      <c r="C52" s="77">
        <f t="shared" si="14"/>
        <v>8.8038164590191403</v>
      </c>
      <c r="D52" s="77">
        <f t="shared" si="0"/>
        <v>5.3124273345494428</v>
      </c>
      <c r="E52" s="77">
        <f t="shared" si="1"/>
        <v>2.9243168676395541</v>
      </c>
      <c r="F52" s="77">
        <f t="shared" si="2"/>
        <v>1.8825477625996814</v>
      </c>
      <c r="G52" s="77">
        <f t="shared" si="3"/>
        <v>1.2304132100797451</v>
      </c>
      <c r="H52" s="77">
        <f t="shared" si="4"/>
        <v>0.77721138129984069</v>
      </c>
      <c r="I52" s="77">
        <f t="shared" si="5"/>
        <v>0.61417774316985663</v>
      </c>
      <c r="J52" s="77">
        <f t="shared" si="15"/>
        <v>0.38757682877990446</v>
      </c>
      <c r="K52" s="272">
        <f>+B52*(('Step 2 - Transformer Sizing'!$R$22*0.9)+('Step 2 - Transformer Sizing'!$R$23*SIN(ACOS(0.9))))/240*100</f>
        <v>0</v>
      </c>
      <c r="L52" s="77">
        <f t="shared" si="6"/>
        <v>6.8281377922043074</v>
      </c>
      <c r="M52" s="77">
        <f t="shared" si="7"/>
        <v>4.3517383735279118</v>
      </c>
      <c r="N52" s="77">
        <f t="shared" si="8"/>
        <v>2.8048953918157102</v>
      </c>
      <c r="O52" s="77">
        <f t="shared" si="9"/>
        <v>1.4678282820889157</v>
      </c>
      <c r="P52" s="77">
        <f t="shared" si="10"/>
        <v>2.2731271194417069</v>
      </c>
      <c r="Q52" s="77">
        <f t="shared" si="11"/>
        <v>1.489175873527911</v>
      </c>
      <c r="R52" s="77">
        <f t="shared" si="12"/>
        <v>0.96887250971491246</v>
      </c>
      <c r="S52" s="77">
        <f t="shared" si="13"/>
        <v>0.72753712761411504</v>
      </c>
    </row>
    <row r="53" spans="1:19" ht="14.25" x14ac:dyDescent="0.2">
      <c r="A53" s="79">
        <v>43</v>
      </c>
      <c r="B53" s="78">
        <v>179</v>
      </c>
      <c r="C53" s="77">
        <f t="shared" si="14"/>
        <v>9.0050465495110057</v>
      </c>
      <c r="D53" s="77">
        <f t="shared" si="0"/>
        <v>5.4338542450534302</v>
      </c>
      <c r="E53" s="77">
        <f t="shared" si="1"/>
        <v>2.9911583960427439</v>
      </c>
      <c r="F53" s="77">
        <f t="shared" si="2"/>
        <v>1.9255774257448171</v>
      </c>
      <c r="G53" s="77">
        <f t="shared" si="3"/>
        <v>1.2585369405958535</v>
      </c>
      <c r="H53" s="77">
        <f t="shared" si="4"/>
        <v>0.79497621287240838</v>
      </c>
      <c r="I53" s="77">
        <f t="shared" si="5"/>
        <v>0.62821609158516767</v>
      </c>
      <c r="J53" s="77">
        <f t="shared" si="15"/>
        <v>0.39643572772344515</v>
      </c>
      <c r="K53" s="272">
        <f>+B53*(('Step 2 - Transformer Sizing'!$R$22*0.9)+('Step 2 - Transformer Sizing'!$R$23*SIN(ACOS(0.9))))/240*100</f>
        <v>0</v>
      </c>
      <c r="L53" s="77">
        <f t="shared" si="6"/>
        <v>6.9842095131689774</v>
      </c>
      <c r="M53" s="77">
        <f t="shared" si="7"/>
        <v>4.4512066792085498</v>
      </c>
      <c r="N53" s="77">
        <f t="shared" si="8"/>
        <v>2.8690072864857838</v>
      </c>
      <c r="O53" s="77">
        <f t="shared" si="9"/>
        <v>1.5013786428223768</v>
      </c>
      <c r="P53" s="77">
        <f t="shared" si="10"/>
        <v>2.3250843107432315</v>
      </c>
      <c r="Q53" s="77">
        <f t="shared" si="11"/>
        <v>1.523214179208549</v>
      </c>
      <c r="R53" s="77">
        <f t="shared" si="12"/>
        <v>0.99101816707982471</v>
      </c>
      <c r="S53" s="77">
        <f t="shared" si="13"/>
        <v>0.74416654767386614</v>
      </c>
    </row>
    <row r="54" spans="1:19" ht="14.25" x14ac:dyDescent="0.2">
      <c r="A54" s="79">
        <v>44</v>
      </c>
      <c r="B54" s="78">
        <v>183</v>
      </c>
      <c r="C54" s="77">
        <f t="shared" si="14"/>
        <v>9.2062766400028728</v>
      </c>
      <c r="D54" s="77">
        <f t="shared" si="0"/>
        <v>5.5552811555574166</v>
      </c>
      <c r="E54" s="77">
        <f t="shared" si="1"/>
        <v>3.0579999244459333</v>
      </c>
      <c r="F54" s="77">
        <f t="shared" si="2"/>
        <v>1.9686070888899527</v>
      </c>
      <c r="G54" s="77">
        <f t="shared" si="3"/>
        <v>1.2866606711119619</v>
      </c>
      <c r="H54" s="77">
        <f t="shared" si="4"/>
        <v>0.8127410444449763</v>
      </c>
      <c r="I54" s="77">
        <f t="shared" si="5"/>
        <v>0.6422544400004786</v>
      </c>
      <c r="J54" s="77">
        <f t="shared" si="15"/>
        <v>0.40529462666698579</v>
      </c>
      <c r="K54" s="272">
        <f>+B54*(('Step 2 - Transformer Sizing'!$R$22*0.9)+('Step 2 - Transformer Sizing'!$R$23*SIN(ACOS(0.9))))/240*100</f>
        <v>0</v>
      </c>
      <c r="L54" s="77">
        <f t="shared" si="6"/>
        <v>7.1402812341336457</v>
      </c>
      <c r="M54" s="77">
        <f t="shared" si="7"/>
        <v>4.5506749848891879</v>
      </c>
      <c r="N54" s="77">
        <f t="shared" si="8"/>
        <v>2.933119181155857</v>
      </c>
      <c r="O54" s="77">
        <f t="shared" si="9"/>
        <v>1.5349290035558376</v>
      </c>
      <c r="P54" s="77">
        <f t="shared" si="10"/>
        <v>2.3770415020447562</v>
      </c>
      <c r="Q54" s="77">
        <f t="shared" si="11"/>
        <v>1.5572524848891869</v>
      </c>
      <c r="R54" s="77">
        <f t="shared" si="12"/>
        <v>1.013163824444737</v>
      </c>
      <c r="S54" s="77">
        <f t="shared" si="13"/>
        <v>0.76079596773361746</v>
      </c>
    </row>
    <row r="55" spans="1:19" ht="14.25" x14ac:dyDescent="0.2">
      <c r="A55" s="79">
        <v>45</v>
      </c>
      <c r="B55" s="78">
        <v>188</v>
      </c>
      <c r="C55" s="77">
        <f t="shared" si="14"/>
        <v>9.4578142531177054</v>
      </c>
      <c r="D55" s="77">
        <f t="shared" si="0"/>
        <v>5.707064793687401</v>
      </c>
      <c r="E55" s="77">
        <f t="shared" si="1"/>
        <v>3.141551834949921</v>
      </c>
      <c r="F55" s="77">
        <f t="shared" si="2"/>
        <v>2.0223941678213722</v>
      </c>
      <c r="G55" s="77">
        <f t="shared" si="3"/>
        <v>1.3218153342570975</v>
      </c>
      <c r="H55" s="77">
        <f t="shared" si="4"/>
        <v>0.83494708391068595</v>
      </c>
      <c r="I55" s="77">
        <f t="shared" si="5"/>
        <v>0.6598023755196174</v>
      </c>
      <c r="J55" s="77">
        <f t="shared" si="15"/>
        <v>0.41636825034641162</v>
      </c>
      <c r="K55" s="272">
        <f>+B55*(('Step 2 - Transformer Sizing'!$R$22*0.9)+('Step 2 - Transformer Sizing'!$R$23*SIN(ACOS(0.9))))/240*100</f>
        <v>0</v>
      </c>
      <c r="L55" s="77">
        <f t="shared" si="6"/>
        <v>7.3353708853394846</v>
      </c>
      <c r="M55" s="77">
        <f t="shared" si="7"/>
        <v>4.6750103669899854</v>
      </c>
      <c r="N55" s="77">
        <f t="shared" si="8"/>
        <v>3.013259049493449</v>
      </c>
      <c r="O55" s="77">
        <f t="shared" si="9"/>
        <v>1.5768669544726639</v>
      </c>
      <c r="P55" s="77">
        <f t="shared" si="10"/>
        <v>2.4419879911716622</v>
      </c>
      <c r="Q55" s="77">
        <f t="shared" si="11"/>
        <v>1.5998003669899845</v>
      </c>
      <c r="R55" s="77">
        <f t="shared" si="12"/>
        <v>1.0408458961508775</v>
      </c>
      <c r="S55" s="77">
        <f t="shared" si="13"/>
        <v>0.78158274280830631</v>
      </c>
    </row>
    <row r="56" spans="1:19" ht="14.25" x14ac:dyDescent="0.2">
      <c r="A56" s="79">
        <v>46</v>
      </c>
      <c r="B56" s="78">
        <v>192</v>
      </c>
      <c r="C56" s="77">
        <f t="shared" si="14"/>
        <v>9.6590443436095708</v>
      </c>
      <c r="D56" s="77">
        <f t="shared" si="0"/>
        <v>5.8284917041913884</v>
      </c>
      <c r="E56" s="77">
        <f t="shared" si="1"/>
        <v>3.2083933633531112</v>
      </c>
      <c r="F56" s="77">
        <f t="shared" si="2"/>
        <v>2.0654238309665076</v>
      </c>
      <c r="G56" s="77">
        <f t="shared" si="3"/>
        <v>1.3499390647732061</v>
      </c>
      <c r="H56" s="77">
        <f t="shared" si="4"/>
        <v>0.85271191548325376</v>
      </c>
      <c r="I56" s="77">
        <f t="shared" si="5"/>
        <v>0.67384072393492833</v>
      </c>
      <c r="J56" s="77">
        <f t="shared" si="15"/>
        <v>0.42522714928995237</v>
      </c>
      <c r="K56" s="272">
        <f>+B56*(('Step 2 - Transformer Sizing'!$R$22*0.9)+('Step 2 - Transformer Sizing'!$R$23*SIN(ACOS(0.9))))/240*100</f>
        <v>0</v>
      </c>
      <c r="L56" s="77">
        <f t="shared" si="6"/>
        <v>7.4914426063041537</v>
      </c>
      <c r="M56" s="77">
        <f t="shared" si="7"/>
        <v>4.7744786726706225</v>
      </c>
      <c r="N56" s="77">
        <f t="shared" si="8"/>
        <v>3.0773709441635222</v>
      </c>
      <c r="O56" s="77">
        <f t="shared" si="9"/>
        <v>1.6104173152061245</v>
      </c>
      <c r="P56" s="77">
        <f t="shared" si="10"/>
        <v>2.4939451824731873</v>
      </c>
      <c r="Q56" s="77">
        <f t="shared" si="11"/>
        <v>1.6338386726706222</v>
      </c>
      <c r="R56" s="77">
        <f t="shared" si="12"/>
        <v>1.0629915535157897</v>
      </c>
      <c r="S56" s="77">
        <f t="shared" si="13"/>
        <v>0.79821216286805763</v>
      </c>
    </row>
    <row r="57" spans="1:19" ht="14.25" x14ac:dyDescent="0.2">
      <c r="A57" s="79">
        <v>47</v>
      </c>
      <c r="B57" s="78">
        <v>196</v>
      </c>
      <c r="C57" s="77">
        <f t="shared" si="14"/>
        <v>9.8602744341014379</v>
      </c>
      <c r="D57" s="77">
        <f t="shared" si="0"/>
        <v>5.9499186146953758</v>
      </c>
      <c r="E57" s="77">
        <f t="shared" si="1"/>
        <v>3.2752348917563006</v>
      </c>
      <c r="F57" s="77">
        <f t="shared" si="2"/>
        <v>2.1084534941116435</v>
      </c>
      <c r="G57" s="77">
        <f t="shared" si="3"/>
        <v>1.3780627952893145</v>
      </c>
      <c r="H57" s="77">
        <f t="shared" si="4"/>
        <v>0.87047674705582156</v>
      </c>
      <c r="I57" s="77">
        <f t="shared" si="5"/>
        <v>0.68787907235023937</v>
      </c>
      <c r="J57" s="77">
        <f t="shared" si="15"/>
        <v>0.43408604823349289</v>
      </c>
      <c r="K57" s="272">
        <f>+B57*(('Step 2 - Transformer Sizing'!$R$22*0.9)+('Step 2 - Transformer Sizing'!$R$23*SIN(ACOS(0.9))))/240*100</f>
        <v>0</v>
      </c>
      <c r="L57" s="77">
        <f t="shared" si="6"/>
        <v>7.6475143272688246</v>
      </c>
      <c r="M57" s="77">
        <f t="shared" si="7"/>
        <v>4.8739469783512606</v>
      </c>
      <c r="N57" s="77">
        <f t="shared" si="8"/>
        <v>3.1414828388335954</v>
      </c>
      <c r="O57" s="77">
        <f t="shared" si="9"/>
        <v>1.6439676759395856</v>
      </c>
      <c r="P57" s="77">
        <f t="shared" si="10"/>
        <v>2.545902373774712</v>
      </c>
      <c r="Q57" s="77">
        <f t="shared" si="11"/>
        <v>1.6678769783512601</v>
      </c>
      <c r="R57" s="77">
        <f t="shared" si="12"/>
        <v>1.0851372108807018</v>
      </c>
      <c r="S57" s="77">
        <f t="shared" si="13"/>
        <v>0.81484158292780884</v>
      </c>
    </row>
    <row r="58" spans="1:19" ht="14.25" x14ac:dyDescent="0.2">
      <c r="A58" s="79">
        <v>48</v>
      </c>
      <c r="B58" s="78">
        <v>200</v>
      </c>
      <c r="C58" s="77">
        <f t="shared" si="14"/>
        <v>10.061504524593303</v>
      </c>
      <c r="D58" s="77">
        <f t="shared" si="0"/>
        <v>6.0713455251993631</v>
      </c>
      <c r="E58" s="77">
        <f t="shared" si="1"/>
        <v>3.3420764201594908</v>
      </c>
      <c r="F58" s="77">
        <f t="shared" si="2"/>
        <v>2.1514831572567785</v>
      </c>
      <c r="G58" s="77">
        <f t="shared" si="3"/>
        <v>1.4061865258054229</v>
      </c>
      <c r="H58" s="77">
        <f t="shared" si="4"/>
        <v>0.88824157862838948</v>
      </c>
      <c r="I58" s="77">
        <f t="shared" si="5"/>
        <v>0.70191742076555041</v>
      </c>
      <c r="J58" s="77">
        <f t="shared" si="15"/>
        <v>0.44294494717703364</v>
      </c>
      <c r="K58" s="272">
        <f>+B58*(('Step 2 - Transformer Sizing'!$R$22*0.9)+('Step 2 - Transformer Sizing'!$R$23*SIN(ACOS(0.9))))/240*100</f>
        <v>0</v>
      </c>
      <c r="L58" s="77">
        <f t="shared" si="6"/>
        <v>7.8035860482334947</v>
      </c>
      <c r="M58" s="77">
        <f t="shared" si="7"/>
        <v>4.9734152840318995</v>
      </c>
      <c r="N58" s="77">
        <f t="shared" si="8"/>
        <v>3.2055947335036685</v>
      </c>
      <c r="O58" s="77">
        <f t="shared" si="9"/>
        <v>1.6775180366730467</v>
      </c>
      <c r="P58" s="77">
        <f t="shared" si="10"/>
        <v>2.5978595650762366</v>
      </c>
      <c r="Q58" s="77">
        <f t="shared" si="11"/>
        <v>1.7019152840318981</v>
      </c>
      <c r="R58" s="77">
        <f t="shared" si="12"/>
        <v>1.1072828682456144</v>
      </c>
      <c r="S58" s="77">
        <f t="shared" si="13"/>
        <v>0.83147100298755994</v>
      </c>
    </row>
    <row r="59" spans="1:19" ht="14.25" x14ac:dyDescent="0.2">
      <c r="A59" s="79">
        <v>49</v>
      </c>
      <c r="B59" s="78">
        <v>204</v>
      </c>
      <c r="C59" s="77">
        <f t="shared" si="14"/>
        <v>10.26273461508517</v>
      </c>
      <c r="D59" s="77">
        <f t="shared" si="0"/>
        <v>6.1927724357033505</v>
      </c>
      <c r="E59" s="77">
        <f t="shared" si="1"/>
        <v>3.4089179485626806</v>
      </c>
      <c r="F59" s="77">
        <f t="shared" si="2"/>
        <v>2.1945128204019149</v>
      </c>
      <c r="G59" s="77">
        <f t="shared" si="3"/>
        <v>1.4343102563215313</v>
      </c>
      <c r="H59" s="77">
        <f t="shared" si="4"/>
        <v>0.90600641020095718</v>
      </c>
      <c r="I59" s="77">
        <f t="shared" si="5"/>
        <v>0.71595576918086135</v>
      </c>
      <c r="J59" s="77">
        <f t="shared" si="15"/>
        <v>0.45180384612057434</v>
      </c>
      <c r="K59" s="272">
        <f>+B59*(('Step 2 - Transformer Sizing'!$R$22*0.9)+('Step 2 - Transformer Sizing'!$R$23*SIN(ACOS(0.9))))/240*100</f>
        <v>0</v>
      </c>
      <c r="L59" s="77">
        <f t="shared" si="6"/>
        <v>7.9596577691981629</v>
      </c>
      <c r="M59" s="77">
        <f t="shared" si="7"/>
        <v>5.0728835897125366</v>
      </c>
      <c r="N59" s="77">
        <f t="shared" si="8"/>
        <v>3.2697066281737421</v>
      </c>
      <c r="O59" s="77">
        <f t="shared" si="9"/>
        <v>1.7110683974065073</v>
      </c>
      <c r="P59" s="77">
        <f t="shared" si="10"/>
        <v>2.6498167563777613</v>
      </c>
      <c r="Q59" s="77">
        <f t="shared" si="11"/>
        <v>1.7359535897125362</v>
      </c>
      <c r="R59" s="77">
        <f t="shared" si="12"/>
        <v>1.1294285256105265</v>
      </c>
      <c r="S59" s="77">
        <f t="shared" si="13"/>
        <v>0.84810042304731115</v>
      </c>
    </row>
    <row r="60" spans="1:19" ht="14.25" x14ac:dyDescent="0.2">
      <c r="A60" s="79">
        <v>50</v>
      </c>
      <c r="B60" s="78">
        <v>208</v>
      </c>
      <c r="C60" s="77">
        <f t="shared" si="14"/>
        <v>10.463964705577036</v>
      </c>
      <c r="D60" s="77">
        <f t="shared" si="0"/>
        <v>6.3141993462073369</v>
      </c>
      <c r="E60" s="77">
        <f t="shared" si="1"/>
        <v>3.47575947696587</v>
      </c>
      <c r="F60" s="77">
        <f t="shared" si="2"/>
        <v>2.2375424835470499</v>
      </c>
      <c r="G60" s="77">
        <f t="shared" si="3"/>
        <v>1.4624339868376397</v>
      </c>
      <c r="H60" s="77">
        <f t="shared" si="4"/>
        <v>0.92377124177352499</v>
      </c>
      <c r="I60" s="77">
        <f t="shared" si="5"/>
        <v>0.72999411759617239</v>
      </c>
      <c r="J60" s="77">
        <f t="shared" si="15"/>
        <v>0.46066274506411503</v>
      </c>
      <c r="K60" s="272">
        <f>+B60*(('Step 2 - Transformer Sizing'!$R$22*0.9)+('Step 2 - Transformer Sizing'!$R$23*SIN(ACOS(0.9))))/240*100</f>
        <v>0</v>
      </c>
      <c r="L60" s="77">
        <f t="shared" si="6"/>
        <v>8.115729490162833</v>
      </c>
      <c r="M60" s="77">
        <f t="shared" si="7"/>
        <v>5.1723518953931746</v>
      </c>
      <c r="N60" s="77">
        <f t="shared" si="8"/>
        <v>3.3338185228438157</v>
      </c>
      <c r="O60" s="77">
        <f t="shared" si="9"/>
        <v>1.7446187581399684</v>
      </c>
      <c r="P60" s="77">
        <f t="shared" si="10"/>
        <v>2.7017739476792859</v>
      </c>
      <c r="Q60" s="77">
        <f t="shared" si="11"/>
        <v>1.7699918953931741</v>
      </c>
      <c r="R60" s="77">
        <f t="shared" si="12"/>
        <v>1.1515741829754389</v>
      </c>
      <c r="S60" s="77">
        <f t="shared" si="13"/>
        <v>0.86472984310706236</v>
      </c>
    </row>
    <row r="61" spans="1:19" ht="14.25" x14ac:dyDescent="0.2">
      <c r="A61" s="79">
        <v>51</v>
      </c>
      <c r="B61" s="78">
        <v>213</v>
      </c>
      <c r="C61" s="77">
        <f t="shared" si="14"/>
        <v>10.715502318691868</v>
      </c>
      <c r="D61" s="77">
        <f t="shared" si="0"/>
        <v>6.4659829843373222</v>
      </c>
      <c r="E61" s="77">
        <f t="shared" si="1"/>
        <v>3.5593113874698572</v>
      </c>
      <c r="F61" s="77">
        <f t="shared" si="2"/>
        <v>2.2913295624784693</v>
      </c>
      <c r="G61" s="77">
        <f t="shared" si="3"/>
        <v>1.4975886499827755</v>
      </c>
      <c r="H61" s="77">
        <f t="shared" si="4"/>
        <v>0.94597728123923475</v>
      </c>
      <c r="I61" s="77">
        <f t="shared" si="5"/>
        <v>0.74754205311531119</v>
      </c>
      <c r="J61" s="77">
        <f t="shared" si="15"/>
        <v>0.47173636874354075</v>
      </c>
      <c r="K61" s="272">
        <f>+B61*(('Step 2 - Transformer Sizing'!$R$22*0.9)+('Step 2 - Transformer Sizing'!$R$23*SIN(ACOS(0.9))))/240*100</f>
        <v>0</v>
      </c>
      <c r="L61" s="77">
        <f t="shared" si="6"/>
        <v>8.3108191413686701</v>
      </c>
      <c r="M61" s="77">
        <f t="shared" si="7"/>
        <v>5.2966872774939722</v>
      </c>
      <c r="N61" s="77">
        <f t="shared" si="8"/>
        <v>3.4139583911814069</v>
      </c>
      <c r="O61" s="77">
        <f t="shared" si="9"/>
        <v>1.7865567090567949</v>
      </c>
      <c r="P61" s="77">
        <f t="shared" si="10"/>
        <v>2.766720436806192</v>
      </c>
      <c r="Q61" s="77">
        <f t="shared" si="11"/>
        <v>1.8125397774939715</v>
      </c>
      <c r="R61" s="77">
        <f t="shared" si="12"/>
        <v>1.1792562546815792</v>
      </c>
      <c r="S61" s="77">
        <f t="shared" si="13"/>
        <v>0.88551661818175131</v>
      </c>
    </row>
    <row r="62" spans="1:19" ht="14.25" x14ac:dyDescent="0.2">
      <c r="A62" s="79">
        <v>52</v>
      </c>
      <c r="B62" s="78">
        <v>217</v>
      </c>
      <c r="C62" s="77">
        <f t="shared" si="14"/>
        <v>10.916732409183734</v>
      </c>
      <c r="D62" s="77">
        <f t="shared" si="0"/>
        <v>6.5874098948413087</v>
      </c>
      <c r="E62" s="77">
        <f t="shared" si="1"/>
        <v>3.6261529158730474</v>
      </c>
      <c r="F62" s="77">
        <f t="shared" si="2"/>
        <v>2.3343592256236048</v>
      </c>
      <c r="G62" s="77">
        <f t="shared" si="3"/>
        <v>1.5257123804988839</v>
      </c>
      <c r="H62" s="77">
        <f t="shared" si="4"/>
        <v>0.96374211281180255</v>
      </c>
      <c r="I62" s="77">
        <f t="shared" si="5"/>
        <v>0.76158040153062223</v>
      </c>
      <c r="J62" s="77">
        <f t="shared" si="15"/>
        <v>0.4805952676870815</v>
      </c>
      <c r="K62" s="272">
        <f>+B62*(('Step 2 - Transformer Sizing'!$R$22*0.9)+('Step 2 - Transformer Sizing'!$R$23*SIN(ACOS(0.9))))/240*100</f>
        <v>0</v>
      </c>
      <c r="L62" s="77">
        <f t="shared" si="6"/>
        <v>8.4668908623333419</v>
      </c>
      <c r="M62" s="77">
        <f t="shared" si="7"/>
        <v>5.3961555831746102</v>
      </c>
      <c r="N62" s="77">
        <f t="shared" si="8"/>
        <v>3.4780702858514805</v>
      </c>
      <c r="O62" s="77">
        <f t="shared" si="9"/>
        <v>1.8201070697902555</v>
      </c>
      <c r="P62" s="77">
        <f t="shared" si="10"/>
        <v>2.818677628107717</v>
      </c>
      <c r="Q62" s="77">
        <f t="shared" si="11"/>
        <v>1.8465780831746097</v>
      </c>
      <c r="R62" s="77">
        <f t="shared" si="12"/>
        <v>1.2014019120464914</v>
      </c>
      <c r="S62" s="77">
        <f t="shared" si="13"/>
        <v>0.90214603824150252</v>
      </c>
    </row>
    <row r="63" spans="1:19" ht="14.25" x14ac:dyDescent="0.2">
      <c r="A63" s="79">
        <v>53</v>
      </c>
      <c r="B63" s="78">
        <v>221</v>
      </c>
      <c r="C63" s="77">
        <f t="shared" si="14"/>
        <v>11.117962499675601</v>
      </c>
      <c r="D63" s="77">
        <f t="shared" si="0"/>
        <v>6.708836805345296</v>
      </c>
      <c r="E63" s="77">
        <f t="shared" si="1"/>
        <v>3.6929944442762368</v>
      </c>
      <c r="F63" s="77">
        <f t="shared" si="2"/>
        <v>2.3773888887687407</v>
      </c>
      <c r="G63" s="77">
        <f t="shared" si="3"/>
        <v>1.5538361110149923</v>
      </c>
      <c r="H63" s="77">
        <f t="shared" si="4"/>
        <v>0.98150694438437025</v>
      </c>
      <c r="I63" s="77">
        <f t="shared" si="5"/>
        <v>0.77561874994593316</v>
      </c>
      <c r="J63" s="77">
        <f t="shared" si="15"/>
        <v>0.48945416663062219</v>
      </c>
      <c r="K63" s="272">
        <f>+B63*(('Step 2 - Transformer Sizing'!$R$22*0.9)+('Step 2 - Transformer Sizing'!$R$23*SIN(ACOS(0.9))))/240*100</f>
        <v>0</v>
      </c>
      <c r="L63" s="77">
        <f t="shared" si="6"/>
        <v>8.6229625832980084</v>
      </c>
      <c r="M63" s="77">
        <f t="shared" si="7"/>
        <v>5.4956238888552482</v>
      </c>
      <c r="N63" s="77">
        <f t="shared" si="8"/>
        <v>3.5421821805215545</v>
      </c>
      <c r="O63" s="77">
        <f t="shared" si="9"/>
        <v>1.8536574305237161</v>
      </c>
      <c r="P63" s="77">
        <f t="shared" si="10"/>
        <v>2.8706348194092413</v>
      </c>
      <c r="Q63" s="77">
        <f t="shared" si="11"/>
        <v>1.8806163888552476</v>
      </c>
      <c r="R63" s="77">
        <f t="shared" si="12"/>
        <v>1.2235475694114037</v>
      </c>
      <c r="S63" s="77">
        <f t="shared" si="13"/>
        <v>0.91877545830125384</v>
      </c>
    </row>
    <row r="64" spans="1:19" ht="14.25" x14ac:dyDescent="0.2">
      <c r="A64" s="79">
        <v>54</v>
      </c>
      <c r="B64" s="78">
        <v>225</v>
      </c>
      <c r="C64" s="77">
        <f t="shared" si="14"/>
        <v>11.319192590167466</v>
      </c>
      <c r="D64" s="77">
        <f t="shared" si="0"/>
        <v>6.8302637158492843</v>
      </c>
      <c r="E64" s="77">
        <f t="shared" si="1"/>
        <v>3.759835972679427</v>
      </c>
      <c r="F64" s="77">
        <f t="shared" si="2"/>
        <v>2.4204185519138761</v>
      </c>
      <c r="G64" s="77">
        <f t="shared" si="3"/>
        <v>1.5819598415311009</v>
      </c>
      <c r="H64" s="77">
        <f t="shared" si="4"/>
        <v>0.99927177595693817</v>
      </c>
      <c r="I64" s="77">
        <f t="shared" si="5"/>
        <v>0.7896570983612442</v>
      </c>
      <c r="J64" s="77">
        <f t="shared" si="15"/>
        <v>0.49831306557416288</v>
      </c>
      <c r="K64" s="272">
        <f>+B64*(('Step 2 - Transformer Sizing'!$R$22*0.9)+('Step 2 - Transformer Sizing'!$R$23*SIN(ACOS(0.9))))/240*100</f>
        <v>0</v>
      </c>
      <c r="L64" s="77">
        <f t="shared" si="6"/>
        <v>8.7790343042626802</v>
      </c>
      <c r="M64" s="77">
        <f t="shared" si="7"/>
        <v>5.5950921945358862</v>
      </c>
      <c r="N64" s="77">
        <f t="shared" si="8"/>
        <v>3.6062940751916273</v>
      </c>
      <c r="O64" s="77">
        <f t="shared" si="9"/>
        <v>1.8872077912571772</v>
      </c>
      <c r="P64" s="77">
        <f t="shared" si="10"/>
        <v>2.9225920107107664</v>
      </c>
      <c r="Q64" s="77">
        <f t="shared" si="11"/>
        <v>1.9146546945358853</v>
      </c>
      <c r="R64" s="77">
        <f t="shared" si="12"/>
        <v>1.2456932267763159</v>
      </c>
      <c r="S64" s="77">
        <f t="shared" si="13"/>
        <v>0.93540487836100505</v>
      </c>
    </row>
    <row r="65" spans="1:19" ht="14.25" x14ac:dyDescent="0.2">
      <c r="A65" s="79">
        <v>55</v>
      </c>
      <c r="B65" s="78">
        <v>229</v>
      </c>
      <c r="C65" s="77">
        <f t="shared" si="14"/>
        <v>11.520422680659333</v>
      </c>
      <c r="D65" s="77">
        <f t="shared" si="0"/>
        <v>6.9516906263532716</v>
      </c>
      <c r="E65" s="77">
        <f t="shared" si="1"/>
        <v>3.8266775010826168</v>
      </c>
      <c r="F65" s="77">
        <f t="shared" si="2"/>
        <v>2.4634482150590116</v>
      </c>
      <c r="G65" s="77">
        <f t="shared" si="3"/>
        <v>1.6100835720472093</v>
      </c>
      <c r="H65" s="77">
        <f t="shared" si="4"/>
        <v>1.0170366075295059</v>
      </c>
      <c r="I65" s="77">
        <f t="shared" si="5"/>
        <v>0.80369544677655524</v>
      </c>
      <c r="J65" s="77">
        <f t="shared" si="15"/>
        <v>0.50717196451770352</v>
      </c>
      <c r="K65" s="272">
        <f>+B65*(('Step 2 - Transformer Sizing'!$R$22*0.9)+('Step 2 - Transformer Sizing'!$R$23*SIN(ACOS(0.9))))/240*100</f>
        <v>0</v>
      </c>
      <c r="L65" s="77">
        <f t="shared" si="6"/>
        <v>8.9351060252273502</v>
      </c>
      <c r="M65" s="77">
        <f t="shared" si="7"/>
        <v>5.6945605002165243</v>
      </c>
      <c r="N65" s="77">
        <f t="shared" si="8"/>
        <v>3.6704059698617009</v>
      </c>
      <c r="O65" s="77">
        <f t="shared" si="9"/>
        <v>1.9207581519906383</v>
      </c>
      <c r="P65" s="77">
        <f t="shared" si="10"/>
        <v>2.9745492020122906</v>
      </c>
      <c r="Q65" s="77">
        <f t="shared" si="11"/>
        <v>1.9486930002165233</v>
      </c>
      <c r="R65" s="77">
        <f t="shared" si="12"/>
        <v>1.2678388841412283</v>
      </c>
      <c r="S65" s="77">
        <f t="shared" si="13"/>
        <v>0.95203429842075615</v>
      </c>
    </row>
    <row r="66" spans="1:19" ht="14.25" x14ac:dyDescent="0.2">
      <c r="A66" s="79">
        <v>56</v>
      </c>
      <c r="B66" s="78">
        <v>233</v>
      </c>
      <c r="C66" s="77">
        <f t="shared" si="14"/>
        <v>11.721652771151197</v>
      </c>
      <c r="D66" s="77">
        <f t="shared" si="0"/>
        <v>7.0731175368572581</v>
      </c>
      <c r="E66" s="77">
        <f t="shared" si="1"/>
        <v>3.8935190294858062</v>
      </c>
      <c r="F66" s="77">
        <f t="shared" si="2"/>
        <v>2.5064778782041475</v>
      </c>
      <c r="G66" s="77">
        <f t="shared" si="3"/>
        <v>1.6382073025633177</v>
      </c>
      <c r="H66" s="77">
        <f t="shared" si="4"/>
        <v>1.0348014391020737</v>
      </c>
      <c r="I66" s="77">
        <f t="shared" si="5"/>
        <v>0.81773379519186618</v>
      </c>
      <c r="J66" s="77">
        <f t="shared" si="15"/>
        <v>0.51603086346124427</v>
      </c>
      <c r="K66" s="272">
        <f>+B66*(('Step 2 - Transformer Sizing'!$R$22*0.9)+('Step 2 - Transformer Sizing'!$R$23*SIN(ACOS(0.9))))/240*100</f>
        <v>0</v>
      </c>
      <c r="L66" s="77">
        <f t="shared" si="6"/>
        <v>9.0911777461920202</v>
      </c>
      <c r="M66" s="77">
        <f t="shared" si="7"/>
        <v>5.7940288058971623</v>
      </c>
      <c r="N66" s="77">
        <f t="shared" si="8"/>
        <v>3.7345178645317745</v>
      </c>
      <c r="O66" s="77">
        <f t="shared" si="9"/>
        <v>1.9543085127240993</v>
      </c>
      <c r="P66" s="77">
        <f t="shared" si="10"/>
        <v>3.0265063933138157</v>
      </c>
      <c r="Q66" s="77">
        <f t="shared" si="11"/>
        <v>1.9827313058971614</v>
      </c>
      <c r="R66" s="77">
        <f t="shared" si="12"/>
        <v>1.2899845415061406</v>
      </c>
      <c r="S66" s="77">
        <f t="shared" si="13"/>
        <v>0.96866371848050759</v>
      </c>
    </row>
    <row r="67" spans="1:19" ht="14.25" x14ac:dyDescent="0.2">
      <c r="A67" s="79">
        <v>57</v>
      </c>
      <c r="B67" s="78">
        <v>238</v>
      </c>
      <c r="C67" s="77">
        <f t="shared" si="14"/>
        <v>11.973190384266029</v>
      </c>
      <c r="D67" s="77">
        <f t="shared" si="0"/>
        <v>7.2249011749872416</v>
      </c>
      <c r="E67" s="77">
        <f t="shared" si="1"/>
        <v>3.9770709399897934</v>
      </c>
      <c r="F67" s="77">
        <f t="shared" si="2"/>
        <v>2.5602649571355669</v>
      </c>
      <c r="G67" s="77">
        <f t="shared" si="3"/>
        <v>1.6733619657084531</v>
      </c>
      <c r="H67" s="77">
        <f t="shared" si="4"/>
        <v>1.0570074785677834</v>
      </c>
      <c r="I67" s="77">
        <f t="shared" si="5"/>
        <v>0.83528173071100498</v>
      </c>
      <c r="J67" s="77">
        <f t="shared" si="15"/>
        <v>0.52710448714067004</v>
      </c>
      <c r="K67" s="272">
        <f>+B67*(('Step 2 - Transformer Sizing'!$R$22*0.9)+('Step 2 - Transformer Sizing'!$R$23*SIN(ACOS(0.9))))/240*100</f>
        <v>0</v>
      </c>
      <c r="L67" s="77">
        <f t="shared" si="6"/>
        <v>9.2862673973978573</v>
      </c>
      <c r="M67" s="77">
        <f t="shared" si="7"/>
        <v>5.9183641879979598</v>
      </c>
      <c r="N67" s="77">
        <f t="shared" si="8"/>
        <v>3.8146577328693656</v>
      </c>
      <c r="O67" s="77">
        <f t="shared" si="9"/>
        <v>1.9962464636409254</v>
      </c>
      <c r="P67" s="77">
        <f t="shared" si="10"/>
        <v>3.0914528824407213</v>
      </c>
      <c r="Q67" s="77">
        <f t="shared" si="11"/>
        <v>2.0252791879979588</v>
      </c>
      <c r="R67" s="77">
        <f t="shared" si="12"/>
        <v>1.317666613212281</v>
      </c>
      <c r="S67" s="77">
        <f t="shared" si="13"/>
        <v>0.98945049355519643</v>
      </c>
    </row>
    <row r="68" spans="1:19" ht="14.25" x14ac:dyDescent="0.2">
      <c r="A68" s="79">
        <v>58</v>
      </c>
      <c r="B68" s="78">
        <v>242</v>
      </c>
      <c r="C68" s="77">
        <f t="shared" si="14"/>
        <v>12.174420474757897</v>
      </c>
      <c r="D68" s="77">
        <f t="shared" si="0"/>
        <v>7.3463280854912298</v>
      </c>
      <c r="E68" s="77">
        <f t="shared" si="1"/>
        <v>4.0439124683929837</v>
      </c>
      <c r="F68" s="77">
        <f t="shared" si="2"/>
        <v>2.6032946202807028</v>
      </c>
      <c r="G68" s="77">
        <f t="shared" si="3"/>
        <v>1.7014856962245619</v>
      </c>
      <c r="H68" s="77">
        <f t="shared" si="4"/>
        <v>1.074772310140351</v>
      </c>
      <c r="I68" s="77">
        <f t="shared" si="5"/>
        <v>0.84932007912631602</v>
      </c>
      <c r="J68" s="77">
        <f t="shared" si="15"/>
        <v>0.53596338608421079</v>
      </c>
      <c r="K68" s="272">
        <f>+B68*(('Step 2 - Transformer Sizing'!$R$22*0.9)+('Step 2 - Transformer Sizing'!$R$23*SIN(ACOS(0.9))))/240*100</f>
        <v>0</v>
      </c>
      <c r="L68" s="77">
        <f t="shared" si="6"/>
        <v>9.4423391183625256</v>
      </c>
      <c r="M68" s="77">
        <f t="shared" si="7"/>
        <v>6.017832493678597</v>
      </c>
      <c r="N68" s="77">
        <f t="shared" si="8"/>
        <v>3.8787696275394392</v>
      </c>
      <c r="O68" s="77">
        <f t="shared" si="9"/>
        <v>2.0297968243743862</v>
      </c>
      <c r="P68" s="77">
        <f t="shared" si="10"/>
        <v>3.1434100737422463</v>
      </c>
      <c r="Q68" s="77">
        <f t="shared" si="11"/>
        <v>2.0593174936785967</v>
      </c>
      <c r="R68" s="77">
        <f t="shared" si="12"/>
        <v>1.3398122705771933</v>
      </c>
      <c r="S68" s="77">
        <f t="shared" si="13"/>
        <v>1.0060799136149479</v>
      </c>
    </row>
    <row r="69" spans="1:19" ht="14.25" x14ac:dyDescent="0.2">
      <c r="A69" s="79">
        <v>59</v>
      </c>
      <c r="B69" s="78">
        <v>246</v>
      </c>
      <c r="C69" s="77">
        <f t="shared" si="14"/>
        <v>12.375650565249764</v>
      </c>
      <c r="D69" s="77">
        <f t="shared" si="0"/>
        <v>7.4677549959952172</v>
      </c>
      <c r="E69" s="77">
        <f t="shared" si="1"/>
        <v>4.1107539967961726</v>
      </c>
      <c r="F69" s="77">
        <f t="shared" si="2"/>
        <v>2.6463242834258378</v>
      </c>
      <c r="G69" s="77">
        <f t="shared" si="3"/>
        <v>1.7296094267406703</v>
      </c>
      <c r="H69" s="77">
        <f t="shared" si="4"/>
        <v>1.0925371417129188</v>
      </c>
      <c r="I69" s="77">
        <f t="shared" si="5"/>
        <v>0.86335842754162695</v>
      </c>
      <c r="J69" s="77">
        <f t="shared" si="15"/>
        <v>0.54482228502775143</v>
      </c>
      <c r="K69" s="272">
        <f>+B69*(('Step 2 - Transformer Sizing'!$R$22*0.9)+('Step 2 - Transformer Sizing'!$R$23*SIN(ACOS(0.9))))/240*100</f>
        <v>0</v>
      </c>
      <c r="L69" s="77">
        <f t="shared" si="6"/>
        <v>9.5984108393271974</v>
      </c>
      <c r="M69" s="77">
        <f t="shared" si="7"/>
        <v>6.1173007993592359</v>
      </c>
      <c r="N69" s="77">
        <f t="shared" si="8"/>
        <v>3.9428815222095133</v>
      </c>
      <c r="O69" s="77">
        <f t="shared" si="9"/>
        <v>2.0633471851078466</v>
      </c>
      <c r="P69" s="77">
        <f t="shared" si="10"/>
        <v>3.1953672650437706</v>
      </c>
      <c r="Q69" s="77">
        <f t="shared" si="11"/>
        <v>2.0933557993592351</v>
      </c>
      <c r="R69" s="77">
        <f t="shared" si="12"/>
        <v>1.3619579279421055</v>
      </c>
      <c r="S69" s="77">
        <f t="shared" si="13"/>
        <v>1.0227093336746989</v>
      </c>
    </row>
    <row r="70" spans="1:19" ht="14.25" x14ac:dyDescent="0.2">
      <c r="A70" s="79">
        <v>60</v>
      </c>
      <c r="B70" s="78">
        <v>250</v>
      </c>
      <c r="C70" s="77">
        <f t="shared" si="14"/>
        <v>12.576880655741629</v>
      </c>
      <c r="D70" s="77">
        <f t="shared" si="0"/>
        <v>7.5891819064992037</v>
      </c>
      <c r="E70" s="77">
        <f t="shared" si="1"/>
        <v>4.1775955251993633</v>
      </c>
      <c r="F70" s="77">
        <f t="shared" si="2"/>
        <v>2.6893539465709737</v>
      </c>
      <c r="G70" s="77">
        <f t="shared" si="3"/>
        <v>1.7577331572567787</v>
      </c>
      <c r="H70" s="77">
        <f t="shared" si="4"/>
        <v>1.1103019732854869</v>
      </c>
      <c r="I70" s="77">
        <f t="shared" si="5"/>
        <v>0.87739677595693799</v>
      </c>
      <c r="J70" s="77">
        <f t="shared" si="15"/>
        <v>0.55368118397129207</v>
      </c>
      <c r="K70" s="272">
        <f>+B70*(('Step 2 - Transformer Sizing'!$R$22*0.9)+('Step 2 - Transformer Sizing'!$R$23*SIN(ACOS(0.9))))/240*100</f>
        <v>0</v>
      </c>
      <c r="L70" s="77">
        <f t="shared" si="6"/>
        <v>9.7544825602918674</v>
      </c>
      <c r="M70" s="77">
        <f t="shared" si="7"/>
        <v>6.2167691050398739</v>
      </c>
      <c r="N70" s="77">
        <f t="shared" si="8"/>
        <v>4.0069934168795864</v>
      </c>
      <c r="O70" s="77">
        <f t="shared" si="9"/>
        <v>2.0968975458413084</v>
      </c>
      <c r="P70" s="77">
        <f t="shared" si="10"/>
        <v>3.2473244563452957</v>
      </c>
      <c r="Q70" s="77">
        <f t="shared" si="11"/>
        <v>2.1273941050398726</v>
      </c>
      <c r="R70" s="77">
        <f t="shared" si="12"/>
        <v>1.3841035853070176</v>
      </c>
      <c r="S70" s="77">
        <f t="shared" si="13"/>
        <v>1.0393387537344501</v>
      </c>
    </row>
    <row r="71" spans="1:19" ht="14.25" x14ac:dyDescent="0.2">
      <c r="A71" s="79">
        <v>61</v>
      </c>
      <c r="B71" s="78">
        <v>254</v>
      </c>
      <c r="C71" s="77">
        <f t="shared" si="14"/>
        <v>12.778110746233494</v>
      </c>
      <c r="D71" s="77">
        <f t="shared" si="0"/>
        <v>7.710608817003191</v>
      </c>
      <c r="E71" s="77">
        <f t="shared" si="1"/>
        <v>4.2444370536025531</v>
      </c>
      <c r="F71" s="77">
        <f t="shared" si="2"/>
        <v>2.7323836097161092</v>
      </c>
      <c r="G71" s="77">
        <f t="shared" si="3"/>
        <v>1.7858568877728871</v>
      </c>
      <c r="H71" s="77">
        <f t="shared" si="4"/>
        <v>1.1280668048580544</v>
      </c>
      <c r="I71" s="77">
        <f t="shared" si="5"/>
        <v>0.89143512437224914</v>
      </c>
      <c r="J71" s="77">
        <f t="shared" si="15"/>
        <v>0.56254008291483271</v>
      </c>
      <c r="K71" s="272">
        <f>+B71*(('Step 2 - Transformer Sizing'!$R$22*0.9)+('Step 2 - Transformer Sizing'!$R$23*SIN(ACOS(0.9))))/240*100</f>
        <v>0</v>
      </c>
      <c r="L71" s="77">
        <f t="shared" si="6"/>
        <v>9.9105542812565375</v>
      </c>
      <c r="M71" s="77">
        <f t="shared" si="7"/>
        <v>6.316237410720511</v>
      </c>
      <c r="N71" s="77">
        <f t="shared" si="8"/>
        <v>4.0711053115496592</v>
      </c>
      <c r="O71" s="77">
        <f t="shared" si="9"/>
        <v>2.1304479065747688</v>
      </c>
      <c r="P71" s="77">
        <f t="shared" si="10"/>
        <v>3.2992816476468207</v>
      </c>
      <c r="Q71" s="77">
        <f t="shared" si="11"/>
        <v>2.1614324107205105</v>
      </c>
      <c r="R71" s="77">
        <f t="shared" si="12"/>
        <v>1.4062492426719302</v>
      </c>
      <c r="S71" s="77">
        <f t="shared" si="13"/>
        <v>1.055968173794201</v>
      </c>
    </row>
    <row r="72" spans="1:19" ht="14.25" x14ac:dyDescent="0.2">
      <c r="A72" s="79">
        <v>62</v>
      </c>
      <c r="B72" s="78">
        <v>258</v>
      </c>
      <c r="C72" s="77">
        <f t="shared" si="14"/>
        <v>12.979340836725358</v>
      </c>
      <c r="D72" s="77">
        <f t="shared" si="0"/>
        <v>7.8320357275071775</v>
      </c>
      <c r="E72" s="77">
        <f t="shared" si="1"/>
        <v>4.3112785820057429</v>
      </c>
      <c r="F72" s="77">
        <f t="shared" si="2"/>
        <v>2.7754132728612446</v>
      </c>
      <c r="G72" s="77">
        <f t="shared" si="3"/>
        <v>1.8139806182889955</v>
      </c>
      <c r="H72" s="77">
        <f t="shared" si="4"/>
        <v>1.1458316364306225</v>
      </c>
      <c r="I72" s="77">
        <f t="shared" si="5"/>
        <v>0.90547347278755996</v>
      </c>
      <c r="J72" s="77">
        <f t="shared" si="15"/>
        <v>0.57139898185837334</v>
      </c>
      <c r="K72" s="272">
        <f>+B72*(('Step 2 - Transformer Sizing'!$R$22*0.9)+('Step 2 - Transformer Sizing'!$R$23*SIN(ACOS(0.9))))/240*100</f>
        <v>0</v>
      </c>
      <c r="L72" s="77">
        <f t="shared" si="6"/>
        <v>10.066626002221208</v>
      </c>
      <c r="M72" s="77">
        <f t="shared" si="7"/>
        <v>6.4157057164011491</v>
      </c>
      <c r="N72" s="77">
        <f t="shared" si="8"/>
        <v>4.1352172062197328</v>
      </c>
      <c r="O72" s="77">
        <f t="shared" si="9"/>
        <v>2.1639982673082301</v>
      </c>
      <c r="P72" s="77">
        <f t="shared" si="10"/>
        <v>3.351238838948345</v>
      </c>
      <c r="Q72" s="77">
        <f t="shared" si="11"/>
        <v>2.1954707164011484</v>
      </c>
      <c r="R72" s="77">
        <f t="shared" si="12"/>
        <v>1.4283949000368423</v>
      </c>
      <c r="S72" s="77">
        <f t="shared" si="13"/>
        <v>1.0725975938539525</v>
      </c>
    </row>
    <row r="73" spans="1:19" ht="14.25" x14ac:dyDescent="0.2">
      <c r="A73" s="79">
        <v>63</v>
      </c>
      <c r="B73" s="78">
        <v>263</v>
      </c>
      <c r="C73" s="77">
        <f t="shared" si="14"/>
        <v>13.230878449840194</v>
      </c>
      <c r="D73" s="77">
        <f t="shared" si="0"/>
        <v>7.9838193656371628</v>
      </c>
      <c r="E73" s="77">
        <f t="shared" si="1"/>
        <v>4.3948304925097297</v>
      </c>
      <c r="F73" s="77">
        <f t="shared" si="2"/>
        <v>2.829200351792664</v>
      </c>
      <c r="G73" s="77">
        <f t="shared" si="3"/>
        <v>1.8491352814341313</v>
      </c>
      <c r="H73" s="77">
        <f t="shared" si="4"/>
        <v>1.168037675896332</v>
      </c>
      <c r="I73" s="77">
        <f t="shared" si="5"/>
        <v>0.92302140830669877</v>
      </c>
      <c r="J73" s="77">
        <f t="shared" si="15"/>
        <v>0.58247260553779923</v>
      </c>
      <c r="K73" s="272">
        <f>+B73*(('Step 2 - Transformer Sizing'!$R$22*0.9)+('Step 2 - Transformer Sizing'!$R$23*SIN(ACOS(0.9))))/240*100</f>
        <v>0</v>
      </c>
      <c r="L73" s="77">
        <f t="shared" si="6"/>
        <v>10.261715653427043</v>
      </c>
      <c r="M73" s="77">
        <f t="shared" si="7"/>
        <v>6.5400410985019457</v>
      </c>
      <c r="N73" s="77">
        <f t="shared" si="8"/>
        <v>4.2153570745573248</v>
      </c>
      <c r="O73" s="77">
        <f t="shared" si="9"/>
        <v>2.2059362182250561</v>
      </c>
      <c r="P73" s="77">
        <f t="shared" si="10"/>
        <v>3.416185328075251</v>
      </c>
      <c r="Q73" s="77">
        <f t="shared" si="11"/>
        <v>2.2380185985019461</v>
      </c>
      <c r="R73" s="77">
        <f t="shared" si="12"/>
        <v>1.4560769717429829</v>
      </c>
      <c r="S73" s="77">
        <f t="shared" si="13"/>
        <v>1.0933843689286413</v>
      </c>
    </row>
    <row r="74" spans="1:19" ht="14.25" x14ac:dyDescent="0.2">
      <c r="A74" s="79">
        <v>64</v>
      </c>
      <c r="B74" s="78">
        <v>267</v>
      </c>
      <c r="C74" s="77">
        <f t="shared" ref="C74:C137" si="16">+B74*((0.108*0.9)+(0.054*SIN(ACOS(0.9))))/240*100</f>
        <v>13.432108540332061</v>
      </c>
      <c r="D74" s="77">
        <f t="shared" ref="D74:D137" si="17">+B74*((0.064*0.9)+(0.035*SIN(ACOS(0.9))))/240*100</f>
        <v>8.1052462761411501</v>
      </c>
      <c r="E74" s="77">
        <f t="shared" ref="E74:E137" si="18">+B74*((0.031*0.9)+(0.028*SIN(ACOS(0.9))))/240*100</f>
        <v>4.4616720209129195</v>
      </c>
      <c r="F74" s="77">
        <f t="shared" ref="F74:F137" si="19">+B74*((0.019*0.9)+(0.02*SIN(ACOS(0.9))))/240*100</f>
        <v>2.8722300149377995</v>
      </c>
      <c r="G74" s="77">
        <f t="shared" ref="G74:G137" si="20">+B74*((0.011*0.9)+(0.016*SIN(ACOS(0.9))))/240*100</f>
        <v>1.8772590119502397</v>
      </c>
      <c r="H74" s="77">
        <f t="shared" ref="H74:H137" si="21">+B74*((0.007*0.9)+(0.01*SIN(ACOS(0.9))))/240*100</f>
        <v>1.1858025074689</v>
      </c>
      <c r="I74" s="77">
        <f t="shared" ref="I74:I137" si="22">+B74*((0.005*0.9)+(0.009*SIN(ACOS(0.9))))/240*100</f>
        <v>0.9370597567220097</v>
      </c>
      <c r="J74" s="77">
        <f t="shared" ref="J74:J137" si="23">+B74*((0.003*0.9)+(0.006*SIN(ACOS(0.9))))/240*100</f>
        <v>0.59133150448133998</v>
      </c>
      <c r="K74" s="272">
        <f>+B74*(('Step 2 - Transformer Sizing'!$R$22*0.9)+('Step 2 - Transformer Sizing'!$R$23*SIN(ACOS(0.9))))/240*100</f>
        <v>0</v>
      </c>
      <c r="L74" s="77">
        <f t="shared" ref="L74:L137" si="24">+$B74*((0.506/1000*100*0.9)+(0.0294/1000*100*SIN(ACOS(0.9))))/240*100*2</f>
        <v>10.417787374391715</v>
      </c>
      <c r="M74" s="77">
        <f t="shared" ref="M74:M137" si="25">+$B74*((0.318/1000*100*0.9)+(0.028/1000*100*SIN(ACOS(0.9))))/240*100*2</f>
        <v>6.6395094041825846</v>
      </c>
      <c r="N74" s="77">
        <f t="shared" ref="N74:N137" si="26">+$B74*((0.2/1000*100*0.9)+(0.0283/1000*100*SIN(ACOS(0.9))))/240*100*2</f>
        <v>4.2794689692273975</v>
      </c>
      <c r="O74" s="77">
        <f t="shared" ref="O74:O137" si="27">+$B74*((0.099/1000*100*0.9)+(0.0265/1000*100*SIN(ACOS(0.9))))/240*100*2</f>
        <v>2.239486578958517</v>
      </c>
      <c r="P74" s="77">
        <f t="shared" ref="P74:P137" si="28">+$B74*((0.159/1000*100*0.9)+(0.0293/1000*100*SIN(ACOS(0.9))))/240*100*2</f>
        <v>3.4681425193767752</v>
      </c>
      <c r="Q74" s="77">
        <f t="shared" ref="Q74:Q137" si="29">+$B74*((0.0999/1000*100*0.9)+(0.028/1000*100*SIN(ACOS(0.9))))/240*100*2</f>
        <v>2.272056904182584</v>
      </c>
      <c r="R74" s="77">
        <f t="shared" ref="R74:R137" si="30">+$B74*((0.0605/1000*100*0.9)+(0.0275/1000*100*SIN(ACOS(0.9))))/240*100*2</f>
        <v>1.478222629107895</v>
      </c>
      <c r="S74" s="77">
        <f t="shared" ref="S74:S137" si="31">+$B74*((0.0425/1000*100*0.9)+(0.0267/1000*100*SIN(ACOS(0.9))))/240*100*2</f>
        <v>1.1100137889883928</v>
      </c>
    </row>
    <row r="75" spans="1:19" ht="14.25" x14ac:dyDescent="0.2">
      <c r="A75" s="79">
        <v>65</v>
      </c>
      <c r="B75" s="78">
        <v>271</v>
      </c>
      <c r="C75" s="77">
        <f t="shared" si="16"/>
        <v>13.633338630823925</v>
      </c>
      <c r="D75" s="77">
        <f t="shared" si="17"/>
        <v>8.2266731866451384</v>
      </c>
      <c r="E75" s="77">
        <f t="shared" si="18"/>
        <v>4.5285135493161093</v>
      </c>
      <c r="F75" s="77">
        <f t="shared" si="19"/>
        <v>2.9152596780829354</v>
      </c>
      <c r="G75" s="77">
        <f t="shared" si="20"/>
        <v>1.9053827424663481</v>
      </c>
      <c r="H75" s="77">
        <f t="shared" si="21"/>
        <v>1.2035673390414676</v>
      </c>
      <c r="I75" s="77">
        <f t="shared" si="22"/>
        <v>0.95109810513732074</v>
      </c>
      <c r="J75" s="77">
        <f t="shared" si="23"/>
        <v>0.60019040342488061</v>
      </c>
      <c r="K75" s="272">
        <f>+B75*(('Step 2 - Transformer Sizing'!$R$22*0.9)+('Step 2 - Transformer Sizing'!$R$23*SIN(ACOS(0.9))))/240*100</f>
        <v>0</v>
      </c>
      <c r="L75" s="77">
        <f t="shared" si="24"/>
        <v>10.573859095356383</v>
      </c>
      <c r="M75" s="77">
        <f t="shared" si="25"/>
        <v>6.7389777098632226</v>
      </c>
      <c r="N75" s="77">
        <f t="shared" si="26"/>
        <v>4.3435808638974711</v>
      </c>
      <c r="O75" s="77">
        <f t="shared" si="27"/>
        <v>2.2730369396919783</v>
      </c>
      <c r="P75" s="77">
        <f t="shared" si="28"/>
        <v>3.5200997106783003</v>
      </c>
      <c r="Q75" s="77">
        <f t="shared" si="29"/>
        <v>2.3060952098632219</v>
      </c>
      <c r="R75" s="77">
        <f t="shared" si="30"/>
        <v>1.5003682864728074</v>
      </c>
      <c r="S75" s="77">
        <f t="shared" si="31"/>
        <v>1.1266432090481437</v>
      </c>
    </row>
    <row r="76" spans="1:19" ht="14.25" x14ac:dyDescent="0.2">
      <c r="A76" s="79">
        <v>66</v>
      </c>
      <c r="B76" s="78">
        <v>275</v>
      </c>
      <c r="C76" s="77">
        <f t="shared" si="16"/>
        <v>13.834568721315794</v>
      </c>
      <c r="D76" s="77">
        <f t="shared" si="17"/>
        <v>8.3481000971491248</v>
      </c>
      <c r="E76" s="77">
        <f t="shared" si="18"/>
        <v>4.5953550777192991</v>
      </c>
      <c r="F76" s="77">
        <f t="shared" si="19"/>
        <v>2.9582893412280709</v>
      </c>
      <c r="G76" s="77">
        <f t="shared" si="20"/>
        <v>1.9335064729824565</v>
      </c>
      <c r="H76" s="77">
        <f t="shared" si="21"/>
        <v>1.2213321706140357</v>
      </c>
      <c r="I76" s="77">
        <f t="shared" si="22"/>
        <v>0.96513645355263189</v>
      </c>
      <c r="J76" s="77">
        <f t="shared" si="23"/>
        <v>0.60904930236842125</v>
      </c>
      <c r="K76" s="272">
        <f>+B76*(('Step 2 - Transformer Sizing'!$R$22*0.9)+('Step 2 - Transformer Sizing'!$R$23*SIN(ACOS(0.9))))/240*100</f>
        <v>0</v>
      </c>
      <c r="L76" s="77">
        <f t="shared" si="24"/>
        <v>10.729930816321055</v>
      </c>
      <c r="M76" s="77">
        <f t="shared" si="25"/>
        <v>6.8384460155438616</v>
      </c>
      <c r="N76" s="77">
        <f t="shared" si="26"/>
        <v>4.4076927585675456</v>
      </c>
      <c r="O76" s="77">
        <f t="shared" si="27"/>
        <v>2.3065873004254387</v>
      </c>
      <c r="P76" s="77">
        <f t="shared" si="28"/>
        <v>3.5720569019798254</v>
      </c>
      <c r="Q76" s="77">
        <f t="shared" si="29"/>
        <v>2.3401335155438598</v>
      </c>
      <c r="R76" s="77">
        <f t="shared" si="30"/>
        <v>1.5225139438377195</v>
      </c>
      <c r="S76" s="77">
        <f t="shared" si="31"/>
        <v>1.143272629107895</v>
      </c>
    </row>
    <row r="77" spans="1:19" ht="14.25" x14ac:dyDescent="0.2">
      <c r="A77" s="79">
        <v>67</v>
      </c>
      <c r="B77" s="78">
        <v>279</v>
      </c>
      <c r="C77" s="77">
        <f t="shared" si="16"/>
        <v>14.035798811807657</v>
      </c>
      <c r="D77" s="77">
        <f t="shared" si="17"/>
        <v>8.4695270076531113</v>
      </c>
      <c r="E77" s="77">
        <f t="shared" si="18"/>
        <v>4.6621966061224898</v>
      </c>
      <c r="F77" s="77">
        <f t="shared" si="19"/>
        <v>3.0013190043732063</v>
      </c>
      <c r="G77" s="77">
        <f t="shared" si="20"/>
        <v>1.9616302034985649</v>
      </c>
      <c r="H77" s="77">
        <f t="shared" si="21"/>
        <v>1.2390970021866032</v>
      </c>
      <c r="I77" s="77">
        <f t="shared" si="22"/>
        <v>0.97917480196794293</v>
      </c>
      <c r="J77" s="77">
        <f t="shared" si="23"/>
        <v>0.617908201311962</v>
      </c>
      <c r="K77" s="272">
        <f>+B77*(('Step 2 - Transformer Sizing'!$R$22*0.9)+('Step 2 - Transformer Sizing'!$R$23*SIN(ACOS(0.9))))/240*100</f>
        <v>0</v>
      </c>
      <c r="L77" s="77">
        <f t="shared" si="24"/>
        <v>10.886002537285725</v>
      </c>
      <c r="M77" s="77">
        <f t="shared" si="25"/>
        <v>6.9379143212244987</v>
      </c>
      <c r="N77" s="77">
        <f t="shared" si="26"/>
        <v>4.4718046532376183</v>
      </c>
      <c r="O77" s="77">
        <f t="shared" si="27"/>
        <v>2.3401376611588995</v>
      </c>
      <c r="P77" s="77">
        <f t="shared" si="28"/>
        <v>3.6240140932813496</v>
      </c>
      <c r="Q77" s="77">
        <f t="shared" si="29"/>
        <v>2.3741718212244978</v>
      </c>
      <c r="R77" s="77">
        <f t="shared" si="30"/>
        <v>1.5446596012026319</v>
      </c>
      <c r="S77" s="77">
        <f t="shared" si="31"/>
        <v>1.1599020491676462</v>
      </c>
    </row>
    <row r="78" spans="1:19" ht="14.25" x14ac:dyDescent="0.2">
      <c r="A78" s="79">
        <v>68</v>
      </c>
      <c r="B78" s="78">
        <v>283</v>
      </c>
      <c r="C78" s="77">
        <f t="shared" si="16"/>
        <v>14.237028902299526</v>
      </c>
      <c r="D78" s="77">
        <f t="shared" si="17"/>
        <v>8.5909539181570995</v>
      </c>
      <c r="E78" s="77">
        <f t="shared" si="18"/>
        <v>4.7290381345256787</v>
      </c>
      <c r="F78" s="77">
        <f t="shared" si="19"/>
        <v>3.0443486675183422</v>
      </c>
      <c r="G78" s="77">
        <f t="shared" si="20"/>
        <v>1.9897539340146733</v>
      </c>
      <c r="H78" s="77">
        <f t="shared" si="21"/>
        <v>1.256861833759171</v>
      </c>
      <c r="I78" s="77">
        <f t="shared" si="22"/>
        <v>0.99321315038325386</v>
      </c>
      <c r="J78" s="77">
        <f t="shared" si="23"/>
        <v>0.62676710025550264</v>
      </c>
      <c r="K78" s="272">
        <f>+B78*(('Step 2 - Transformer Sizing'!$R$22*0.9)+('Step 2 - Transformer Sizing'!$R$23*SIN(ACOS(0.9))))/240*100</f>
        <v>0</v>
      </c>
      <c r="L78" s="77">
        <f t="shared" si="24"/>
        <v>11.042074258250393</v>
      </c>
      <c r="M78" s="77">
        <f t="shared" si="25"/>
        <v>7.0373826269051367</v>
      </c>
      <c r="N78" s="77">
        <f t="shared" si="26"/>
        <v>4.5359165479076919</v>
      </c>
      <c r="O78" s="77">
        <f t="shared" si="27"/>
        <v>2.3736880218923608</v>
      </c>
      <c r="P78" s="77">
        <f t="shared" si="28"/>
        <v>3.6759712845828747</v>
      </c>
      <c r="Q78" s="77">
        <f t="shared" si="29"/>
        <v>2.4082101269051357</v>
      </c>
      <c r="R78" s="77">
        <f t="shared" si="30"/>
        <v>1.5668052585675445</v>
      </c>
      <c r="S78" s="77">
        <f t="shared" si="31"/>
        <v>1.1765314692273976</v>
      </c>
    </row>
    <row r="79" spans="1:19" ht="14.25" x14ac:dyDescent="0.2">
      <c r="A79" s="79">
        <v>69</v>
      </c>
      <c r="B79" s="78">
        <v>288</v>
      </c>
      <c r="C79" s="77">
        <f t="shared" si="16"/>
        <v>14.488566515414359</v>
      </c>
      <c r="D79" s="77">
        <f t="shared" si="17"/>
        <v>8.7427375562870822</v>
      </c>
      <c r="E79" s="77">
        <f t="shared" si="18"/>
        <v>4.8125900450296664</v>
      </c>
      <c r="F79" s="77">
        <f t="shared" si="19"/>
        <v>3.0981357464497616</v>
      </c>
      <c r="G79" s="77">
        <f t="shared" si="20"/>
        <v>2.0249085971598091</v>
      </c>
      <c r="H79" s="77">
        <f t="shared" si="21"/>
        <v>1.2790678732248808</v>
      </c>
      <c r="I79" s="77">
        <f t="shared" si="22"/>
        <v>1.0107610859023926</v>
      </c>
      <c r="J79" s="77">
        <f t="shared" si="23"/>
        <v>0.63784072393492841</v>
      </c>
      <c r="K79" s="272">
        <f>+B79*(('Step 2 - Transformer Sizing'!$R$22*0.9)+('Step 2 - Transformer Sizing'!$R$23*SIN(ACOS(0.9))))/240*100</f>
        <v>0</v>
      </c>
      <c r="L79" s="77">
        <f t="shared" si="24"/>
        <v>11.237163909456232</v>
      </c>
      <c r="M79" s="77">
        <f t="shared" si="25"/>
        <v>7.1617180090059334</v>
      </c>
      <c r="N79" s="77">
        <f t="shared" si="26"/>
        <v>4.616056416245284</v>
      </c>
      <c r="O79" s="77">
        <f t="shared" si="27"/>
        <v>2.4156259728091869</v>
      </c>
      <c r="P79" s="77">
        <f t="shared" si="28"/>
        <v>3.7409177737097807</v>
      </c>
      <c r="Q79" s="77">
        <f t="shared" si="29"/>
        <v>2.4507580090059333</v>
      </c>
      <c r="R79" s="77">
        <f t="shared" si="30"/>
        <v>1.5944873302736844</v>
      </c>
      <c r="S79" s="77">
        <f t="shared" si="31"/>
        <v>1.1973182443020864</v>
      </c>
    </row>
    <row r="80" spans="1:19" ht="14.25" x14ac:dyDescent="0.2">
      <c r="A80" s="79">
        <v>70</v>
      </c>
      <c r="B80" s="78">
        <v>292</v>
      </c>
      <c r="C80" s="77">
        <f t="shared" si="16"/>
        <v>14.689796605906222</v>
      </c>
      <c r="D80" s="77">
        <f t="shared" si="17"/>
        <v>8.8641644667910704</v>
      </c>
      <c r="E80" s="77">
        <f t="shared" si="18"/>
        <v>4.8794315734328562</v>
      </c>
      <c r="F80" s="77">
        <f t="shared" si="19"/>
        <v>3.1411654095948967</v>
      </c>
      <c r="G80" s="77">
        <f t="shared" si="20"/>
        <v>2.0530323276759175</v>
      </c>
      <c r="H80" s="77">
        <f t="shared" si="21"/>
        <v>1.2968327047974486</v>
      </c>
      <c r="I80" s="77">
        <f t="shared" si="22"/>
        <v>1.0247994343177036</v>
      </c>
      <c r="J80" s="77">
        <f t="shared" si="23"/>
        <v>0.64669962287846905</v>
      </c>
      <c r="K80" s="272">
        <f>+B80*(('Step 2 - Transformer Sizing'!$R$22*0.9)+('Step 2 - Transformer Sizing'!$R$23*SIN(ACOS(0.9))))/240*100</f>
        <v>0</v>
      </c>
      <c r="L80" s="77">
        <f t="shared" si="24"/>
        <v>11.3932356304209</v>
      </c>
      <c r="M80" s="77">
        <f t="shared" si="25"/>
        <v>7.2611863146865723</v>
      </c>
      <c r="N80" s="77">
        <f t="shared" si="26"/>
        <v>4.6801683109153567</v>
      </c>
      <c r="O80" s="77">
        <f t="shared" si="27"/>
        <v>2.4491763335426477</v>
      </c>
      <c r="P80" s="77">
        <f t="shared" si="28"/>
        <v>3.7928749650113049</v>
      </c>
      <c r="Q80" s="77">
        <f t="shared" si="29"/>
        <v>2.4847963146865713</v>
      </c>
      <c r="R80" s="77">
        <f t="shared" si="30"/>
        <v>1.6166329876385968</v>
      </c>
      <c r="S80" s="77">
        <f t="shared" si="31"/>
        <v>1.2139476643618374</v>
      </c>
    </row>
    <row r="81" spans="1:19" ht="14.25" x14ac:dyDescent="0.2">
      <c r="A81" s="79">
        <v>71</v>
      </c>
      <c r="B81" s="78">
        <v>296</v>
      </c>
      <c r="C81" s="77">
        <f t="shared" si="16"/>
        <v>14.891026696398088</v>
      </c>
      <c r="D81" s="77">
        <f t="shared" si="17"/>
        <v>8.9855913772950569</v>
      </c>
      <c r="E81" s="77">
        <f t="shared" si="18"/>
        <v>4.9462731018360451</v>
      </c>
      <c r="F81" s="77">
        <f t="shared" si="19"/>
        <v>3.184195072740033</v>
      </c>
      <c r="G81" s="77">
        <f t="shared" si="20"/>
        <v>2.0811560581920259</v>
      </c>
      <c r="H81" s="77">
        <f t="shared" si="21"/>
        <v>1.3145975363700162</v>
      </c>
      <c r="I81" s="77">
        <f t="shared" si="22"/>
        <v>1.0388377827330146</v>
      </c>
      <c r="J81" s="77">
        <f t="shared" si="23"/>
        <v>0.6555585218220098</v>
      </c>
      <c r="K81" s="272">
        <f>+B81*(('Step 2 - Transformer Sizing'!$R$22*0.9)+('Step 2 - Transformer Sizing'!$R$23*SIN(ACOS(0.9))))/240*100</f>
        <v>0</v>
      </c>
      <c r="L81" s="77">
        <f t="shared" si="24"/>
        <v>11.54930735138557</v>
      </c>
      <c r="M81" s="77">
        <f t="shared" si="25"/>
        <v>7.3606546203672103</v>
      </c>
      <c r="N81" s="77">
        <f t="shared" si="26"/>
        <v>4.7442802055854303</v>
      </c>
      <c r="O81" s="77">
        <f t="shared" si="27"/>
        <v>2.482726694276109</v>
      </c>
      <c r="P81" s="77">
        <f t="shared" si="28"/>
        <v>3.84483215631283</v>
      </c>
      <c r="Q81" s="77">
        <f t="shared" si="29"/>
        <v>2.5188346203672092</v>
      </c>
      <c r="R81" s="77">
        <f t="shared" si="30"/>
        <v>1.6387786450035091</v>
      </c>
      <c r="S81" s="77">
        <f t="shared" si="31"/>
        <v>1.2305770844215886</v>
      </c>
    </row>
    <row r="82" spans="1:19" ht="14.25" x14ac:dyDescent="0.2">
      <c r="A82" s="79">
        <v>72</v>
      </c>
      <c r="B82" s="78">
        <v>300</v>
      </c>
      <c r="C82" s="77">
        <f t="shared" si="16"/>
        <v>15.092256786889955</v>
      </c>
      <c r="D82" s="77">
        <f t="shared" si="17"/>
        <v>9.1070182877990451</v>
      </c>
      <c r="E82" s="77">
        <f t="shared" si="18"/>
        <v>5.0131146302392358</v>
      </c>
      <c r="F82" s="77">
        <f t="shared" si="19"/>
        <v>3.227224735885168</v>
      </c>
      <c r="G82" s="77">
        <f t="shared" si="20"/>
        <v>2.1092797887081343</v>
      </c>
      <c r="H82" s="77">
        <f t="shared" si="21"/>
        <v>1.332362367942584</v>
      </c>
      <c r="I82" s="77">
        <f t="shared" si="22"/>
        <v>1.0528761311483255</v>
      </c>
      <c r="J82" s="77">
        <f t="shared" si="23"/>
        <v>0.66441742076555044</v>
      </c>
      <c r="K82" s="272">
        <f>+B82*(('Step 2 - Transformer Sizing'!$R$22*0.9)+('Step 2 - Transformer Sizing'!$R$23*SIN(ACOS(0.9))))/240*100</f>
        <v>0</v>
      </c>
      <c r="L82" s="77">
        <f t="shared" si="24"/>
        <v>11.70537907235024</v>
      </c>
      <c r="M82" s="77">
        <f t="shared" si="25"/>
        <v>7.4601229260478492</v>
      </c>
      <c r="N82" s="77">
        <f t="shared" si="26"/>
        <v>4.808392100255503</v>
      </c>
      <c r="O82" s="77">
        <f t="shared" si="27"/>
        <v>2.5162770550095694</v>
      </c>
      <c r="P82" s="77">
        <f t="shared" si="28"/>
        <v>3.8967893476143551</v>
      </c>
      <c r="Q82" s="77">
        <f t="shared" si="29"/>
        <v>2.5528729260478475</v>
      </c>
      <c r="R82" s="77">
        <f t="shared" si="30"/>
        <v>1.6609243023684213</v>
      </c>
      <c r="S82" s="77">
        <f t="shared" si="31"/>
        <v>1.2472065044813401</v>
      </c>
    </row>
    <row r="83" spans="1:19" ht="14.25" x14ac:dyDescent="0.2">
      <c r="A83" s="79">
        <v>73</v>
      </c>
      <c r="B83" s="78">
        <v>304</v>
      </c>
      <c r="C83" s="77">
        <f t="shared" si="16"/>
        <v>15.29348687738182</v>
      </c>
      <c r="D83" s="77">
        <f t="shared" si="17"/>
        <v>9.2284451983030333</v>
      </c>
      <c r="E83" s="77">
        <f t="shared" si="18"/>
        <v>5.0799561586424256</v>
      </c>
      <c r="F83" s="77">
        <f t="shared" si="19"/>
        <v>3.2702543990303043</v>
      </c>
      <c r="G83" s="77">
        <f t="shared" si="20"/>
        <v>2.1374035192242427</v>
      </c>
      <c r="H83" s="77">
        <f t="shared" si="21"/>
        <v>1.3501271995151518</v>
      </c>
      <c r="I83" s="77">
        <f t="shared" si="22"/>
        <v>1.0669144795636365</v>
      </c>
      <c r="J83" s="77">
        <f t="shared" si="23"/>
        <v>0.67327631970909119</v>
      </c>
      <c r="K83" s="272">
        <f>+B83*(('Step 2 - Transformer Sizing'!$R$22*0.9)+('Step 2 - Transformer Sizing'!$R$23*SIN(ACOS(0.9))))/240*100</f>
        <v>0</v>
      </c>
      <c r="L83" s="77">
        <f t="shared" si="24"/>
        <v>11.86145079331491</v>
      </c>
      <c r="M83" s="77">
        <f t="shared" si="25"/>
        <v>7.5595912317284863</v>
      </c>
      <c r="N83" s="77">
        <f t="shared" si="26"/>
        <v>4.8725039949255766</v>
      </c>
      <c r="O83" s="77">
        <f t="shared" si="27"/>
        <v>2.5498274157430312</v>
      </c>
      <c r="P83" s="77">
        <f t="shared" si="28"/>
        <v>3.9487465389158793</v>
      </c>
      <c r="Q83" s="77">
        <f t="shared" si="29"/>
        <v>2.586911231728485</v>
      </c>
      <c r="R83" s="77">
        <f t="shared" si="30"/>
        <v>1.6830699597333336</v>
      </c>
      <c r="S83" s="77">
        <f t="shared" si="31"/>
        <v>1.2638359245410913</v>
      </c>
    </row>
    <row r="84" spans="1:19" ht="14.25" x14ac:dyDescent="0.2">
      <c r="A84" s="79">
        <v>74</v>
      </c>
      <c r="B84" s="78">
        <v>308</v>
      </c>
      <c r="C84" s="77">
        <f t="shared" si="16"/>
        <v>15.494716967873687</v>
      </c>
      <c r="D84" s="77">
        <f t="shared" si="17"/>
        <v>9.3498721088070198</v>
      </c>
      <c r="E84" s="77">
        <f t="shared" si="18"/>
        <v>5.1467976870456154</v>
      </c>
      <c r="F84" s="77">
        <f t="shared" si="19"/>
        <v>3.3132840621754394</v>
      </c>
      <c r="G84" s="77">
        <f t="shared" si="20"/>
        <v>2.1655272497403515</v>
      </c>
      <c r="H84" s="77">
        <f t="shared" si="21"/>
        <v>1.3678920310877196</v>
      </c>
      <c r="I84" s="77">
        <f t="shared" si="22"/>
        <v>1.0809528279789478</v>
      </c>
      <c r="J84" s="77">
        <f t="shared" si="23"/>
        <v>0.68213521865263194</v>
      </c>
      <c r="K84" s="272">
        <f>+B84*(('Step 2 - Transformer Sizing'!$R$22*0.9)+('Step 2 - Transformer Sizing'!$R$23*SIN(ACOS(0.9))))/240*100</f>
        <v>0</v>
      </c>
      <c r="L84" s="77">
        <f t="shared" si="24"/>
        <v>12.017522514279582</v>
      </c>
      <c r="M84" s="77">
        <f t="shared" si="25"/>
        <v>7.6590595374091244</v>
      </c>
      <c r="N84" s="77">
        <f t="shared" si="26"/>
        <v>4.9366158895956502</v>
      </c>
      <c r="O84" s="77">
        <f t="shared" si="27"/>
        <v>2.5833777764764916</v>
      </c>
      <c r="P84" s="77">
        <f t="shared" si="28"/>
        <v>4.0007037302174036</v>
      </c>
      <c r="Q84" s="77">
        <f t="shared" si="29"/>
        <v>2.620949537409123</v>
      </c>
      <c r="R84" s="77">
        <f t="shared" si="30"/>
        <v>1.7052156170982455</v>
      </c>
      <c r="S84" s="77">
        <f t="shared" si="31"/>
        <v>1.2804653446008425</v>
      </c>
    </row>
    <row r="85" spans="1:19" ht="14.25" x14ac:dyDescent="0.2">
      <c r="A85" s="79">
        <v>75</v>
      </c>
      <c r="B85" s="78">
        <v>313</v>
      </c>
      <c r="C85" s="77">
        <f t="shared" si="16"/>
        <v>15.746254580988516</v>
      </c>
      <c r="D85" s="77">
        <f t="shared" si="17"/>
        <v>9.5016557469370024</v>
      </c>
      <c r="E85" s="77">
        <f t="shared" si="18"/>
        <v>5.2303495975496022</v>
      </c>
      <c r="F85" s="77">
        <f t="shared" si="19"/>
        <v>3.3670711411068588</v>
      </c>
      <c r="G85" s="77">
        <f t="shared" si="20"/>
        <v>2.2006819128854866</v>
      </c>
      <c r="H85" s="77">
        <f t="shared" si="21"/>
        <v>1.3900980705534294</v>
      </c>
      <c r="I85" s="77">
        <f t="shared" si="22"/>
        <v>1.0985007634980866</v>
      </c>
      <c r="J85" s="77">
        <f t="shared" si="23"/>
        <v>0.69320884233205771</v>
      </c>
      <c r="K85" s="272">
        <f>+B85*(('Step 2 - Transformer Sizing'!$R$22*0.9)+('Step 2 - Transformer Sizing'!$R$23*SIN(ACOS(0.9))))/240*100</f>
        <v>0</v>
      </c>
      <c r="L85" s="77">
        <f t="shared" si="24"/>
        <v>12.212612165485417</v>
      </c>
      <c r="M85" s="77">
        <f t="shared" si="25"/>
        <v>7.783394919509921</v>
      </c>
      <c r="N85" s="77">
        <f t="shared" si="26"/>
        <v>5.0167557579332422</v>
      </c>
      <c r="O85" s="77">
        <f t="shared" si="27"/>
        <v>2.6253157273933176</v>
      </c>
      <c r="P85" s="77">
        <f t="shared" si="28"/>
        <v>4.0656502193443096</v>
      </c>
      <c r="Q85" s="77">
        <f t="shared" si="29"/>
        <v>2.6634974195099206</v>
      </c>
      <c r="R85" s="77">
        <f t="shared" si="30"/>
        <v>1.7328976888043863</v>
      </c>
      <c r="S85" s="77">
        <f t="shared" si="31"/>
        <v>1.3012521196755313</v>
      </c>
    </row>
    <row r="86" spans="1:19" ht="14.25" x14ac:dyDescent="0.2">
      <c r="A86" s="79">
        <v>76</v>
      </c>
      <c r="B86" s="78">
        <v>317</v>
      </c>
      <c r="C86" s="77">
        <f t="shared" si="16"/>
        <v>15.947484671480385</v>
      </c>
      <c r="D86" s="77">
        <f t="shared" si="17"/>
        <v>9.6230826574409907</v>
      </c>
      <c r="E86" s="77">
        <f t="shared" si="18"/>
        <v>5.297191125952792</v>
      </c>
      <c r="F86" s="77">
        <f t="shared" si="19"/>
        <v>3.4101008042519942</v>
      </c>
      <c r="G86" s="77">
        <f t="shared" si="20"/>
        <v>2.228805643401595</v>
      </c>
      <c r="H86" s="77">
        <f t="shared" si="21"/>
        <v>1.4078629021259972</v>
      </c>
      <c r="I86" s="77">
        <f t="shared" si="22"/>
        <v>1.1125391119133974</v>
      </c>
      <c r="J86" s="77">
        <f t="shared" si="23"/>
        <v>0.70206774127559834</v>
      </c>
      <c r="K86" s="272">
        <f>+B86*(('Step 2 - Transformer Sizing'!$R$22*0.9)+('Step 2 - Transformer Sizing'!$R$23*SIN(ACOS(0.9))))/240*100</f>
        <v>0</v>
      </c>
      <c r="L86" s="77">
        <f t="shared" si="24"/>
        <v>12.368683886450087</v>
      </c>
      <c r="M86" s="77">
        <f t="shared" si="25"/>
        <v>7.8828632251905599</v>
      </c>
      <c r="N86" s="77">
        <f t="shared" si="26"/>
        <v>5.080867652603315</v>
      </c>
      <c r="O86" s="77">
        <f t="shared" si="27"/>
        <v>2.6588660881267785</v>
      </c>
      <c r="P86" s="77">
        <f t="shared" si="28"/>
        <v>4.1176074106458342</v>
      </c>
      <c r="Q86" s="77">
        <f t="shared" si="29"/>
        <v>2.6975357251905585</v>
      </c>
      <c r="R86" s="77">
        <f t="shared" si="30"/>
        <v>1.7550433461692987</v>
      </c>
      <c r="S86" s="77">
        <f t="shared" si="31"/>
        <v>1.3178815397352825</v>
      </c>
    </row>
    <row r="87" spans="1:19" ht="14.25" x14ac:dyDescent="0.2">
      <c r="A87" s="79">
        <v>77</v>
      </c>
      <c r="B87" s="78">
        <v>321</v>
      </c>
      <c r="C87" s="77">
        <f t="shared" si="16"/>
        <v>16.148714761972251</v>
      </c>
      <c r="D87" s="77">
        <f t="shared" si="17"/>
        <v>9.7445095679449771</v>
      </c>
      <c r="E87" s="77">
        <f t="shared" si="18"/>
        <v>5.3640326543559818</v>
      </c>
      <c r="F87" s="77">
        <f t="shared" si="19"/>
        <v>3.4531304673971293</v>
      </c>
      <c r="G87" s="77">
        <f t="shared" si="20"/>
        <v>2.2569293739177034</v>
      </c>
      <c r="H87" s="77">
        <f t="shared" si="21"/>
        <v>1.425627733698565</v>
      </c>
      <c r="I87" s="77">
        <f t="shared" si="22"/>
        <v>1.1265774603287084</v>
      </c>
      <c r="J87" s="77">
        <f t="shared" si="23"/>
        <v>0.71092664021913909</v>
      </c>
      <c r="K87" s="272">
        <f>+B87*(('Step 2 - Transformer Sizing'!$R$22*0.9)+('Step 2 - Transformer Sizing'!$R$23*SIN(ACOS(0.9))))/240*100</f>
        <v>0</v>
      </c>
      <c r="L87" s="77">
        <f t="shared" si="24"/>
        <v>12.524755607414759</v>
      </c>
      <c r="M87" s="77">
        <f t="shared" si="25"/>
        <v>7.982331530871198</v>
      </c>
      <c r="N87" s="77">
        <f t="shared" si="26"/>
        <v>5.1449795472733886</v>
      </c>
      <c r="O87" s="77">
        <f t="shared" si="27"/>
        <v>2.6924164488602398</v>
      </c>
      <c r="P87" s="77">
        <f t="shared" si="28"/>
        <v>4.1695646019473598</v>
      </c>
      <c r="Q87" s="77">
        <f t="shared" si="29"/>
        <v>2.7315740308711969</v>
      </c>
      <c r="R87" s="77">
        <f t="shared" si="30"/>
        <v>1.7771890035342111</v>
      </c>
      <c r="S87" s="77">
        <f t="shared" si="31"/>
        <v>1.334510959795034</v>
      </c>
    </row>
    <row r="88" spans="1:19" ht="14.25" x14ac:dyDescent="0.2">
      <c r="A88" s="79">
        <v>78</v>
      </c>
      <c r="B88" s="78">
        <v>325</v>
      </c>
      <c r="C88" s="77">
        <f t="shared" si="16"/>
        <v>16.34994485246412</v>
      </c>
      <c r="D88" s="77">
        <f t="shared" si="17"/>
        <v>9.8659364784489636</v>
      </c>
      <c r="E88" s="77">
        <f t="shared" si="18"/>
        <v>5.4308741827591716</v>
      </c>
      <c r="F88" s="77">
        <f t="shared" si="19"/>
        <v>3.496160130542266</v>
      </c>
      <c r="G88" s="77">
        <f t="shared" si="20"/>
        <v>2.2850531044338118</v>
      </c>
      <c r="H88" s="77">
        <f t="shared" si="21"/>
        <v>1.4433925652711326</v>
      </c>
      <c r="I88" s="77">
        <f t="shared" si="22"/>
        <v>1.1406158087440192</v>
      </c>
      <c r="J88" s="77">
        <f t="shared" si="23"/>
        <v>0.71978553916267973</v>
      </c>
      <c r="K88" s="272">
        <f>+B88*(('Step 2 - Transformer Sizing'!$R$22*0.9)+('Step 2 - Transformer Sizing'!$R$23*SIN(ACOS(0.9))))/240*100</f>
        <v>0</v>
      </c>
      <c r="L88" s="77">
        <f t="shared" si="24"/>
        <v>12.680827328379426</v>
      </c>
      <c r="M88" s="77">
        <f t="shared" si="25"/>
        <v>8.081799836551836</v>
      </c>
      <c r="N88" s="77">
        <f t="shared" si="26"/>
        <v>5.2090914419434622</v>
      </c>
      <c r="O88" s="77">
        <f t="shared" si="27"/>
        <v>2.7259668095937006</v>
      </c>
      <c r="P88" s="77">
        <f t="shared" si="28"/>
        <v>4.2215217932488844</v>
      </c>
      <c r="Q88" s="77">
        <f t="shared" si="29"/>
        <v>2.7656123365518348</v>
      </c>
      <c r="R88" s="77">
        <f t="shared" si="30"/>
        <v>1.799334660899123</v>
      </c>
      <c r="S88" s="77">
        <f t="shared" si="31"/>
        <v>1.351140379854785</v>
      </c>
    </row>
    <row r="89" spans="1:19" ht="14.25" x14ac:dyDescent="0.2">
      <c r="A89" s="79">
        <v>79</v>
      </c>
      <c r="B89" s="78">
        <v>329</v>
      </c>
      <c r="C89" s="77">
        <f t="shared" si="16"/>
        <v>16.551174942955981</v>
      </c>
      <c r="D89" s="77">
        <f t="shared" si="17"/>
        <v>9.9873633889529536</v>
      </c>
      <c r="E89" s="77">
        <f t="shared" si="18"/>
        <v>5.4977157111623622</v>
      </c>
      <c r="F89" s="77">
        <f t="shared" si="19"/>
        <v>3.5391897936874015</v>
      </c>
      <c r="G89" s="77">
        <f t="shared" si="20"/>
        <v>2.3131768349499207</v>
      </c>
      <c r="H89" s="77">
        <f t="shared" si="21"/>
        <v>1.4611573968437006</v>
      </c>
      <c r="I89" s="77">
        <f t="shared" si="22"/>
        <v>1.1546541571593303</v>
      </c>
      <c r="J89" s="77">
        <f t="shared" si="23"/>
        <v>0.72864443810622026</v>
      </c>
      <c r="K89" s="272">
        <f>+B89*(('Step 2 - Transformer Sizing'!$R$22*0.9)+('Step 2 - Transformer Sizing'!$R$23*SIN(ACOS(0.9))))/240*100</f>
        <v>0</v>
      </c>
      <c r="L89" s="77">
        <f t="shared" si="24"/>
        <v>12.836899049344098</v>
      </c>
      <c r="M89" s="77">
        <f t="shared" si="25"/>
        <v>8.181268142232474</v>
      </c>
      <c r="N89" s="77">
        <f t="shared" si="26"/>
        <v>5.2732033366135349</v>
      </c>
      <c r="O89" s="77">
        <f t="shared" si="27"/>
        <v>2.7595171703271615</v>
      </c>
      <c r="P89" s="77">
        <f t="shared" si="28"/>
        <v>4.2734789845504082</v>
      </c>
      <c r="Q89" s="77">
        <f t="shared" si="29"/>
        <v>2.7996506422324723</v>
      </c>
      <c r="R89" s="77">
        <f t="shared" si="30"/>
        <v>1.8214803182640353</v>
      </c>
      <c r="S89" s="77">
        <f t="shared" si="31"/>
        <v>1.3677697999145362</v>
      </c>
    </row>
    <row r="90" spans="1:19" ht="14.25" x14ac:dyDescent="0.2">
      <c r="A90" s="79">
        <v>80</v>
      </c>
      <c r="B90" s="78">
        <v>333</v>
      </c>
      <c r="C90" s="77">
        <f t="shared" si="16"/>
        <v>16.75240503344785</v>
      </c>
      <c r="D90" s="77">
        <f t="shared" si="17"/>
        <v>10.10879029945694</v>
      </c>
      <c r="E90" s="77">
        <f t="shared" si="18"/>
        <v>5.5645572395655511</v>
      </c>
      <c r="F90" s="77">
        <f t="shared" si="19"/>
        <v>3.582219456832537</v>
      </c>
      <c r="G90" s="77">
        <f t="shared" si="20"/>
        <v>2.341300565466029</v>
      </c>
      <c r="H90" s="77">
        <f t="shared" si="21"/>
        <v>1.4789222284162684</v>
      </c>
      <c r="I90" s="77">
        <f t="shared" si="22"/>
        <v>1.1686925055746415</v>
      </c>
      <c r="J90" s="77">
        <f t="shared" si="23"/>
        <v>0.73750333704976101</v>
      </c>
      <c r="K90" s="272">
        <f>+B90*(('Step 2 - Transformer Sizing'!$R$22*0.9)+('Step 2 - Transformer Sizing'!$R$23*SIN(ACOS(0.9))))/240*100</f>
        <v>0</v>
      </c>
      <c r="L90" s="77">
        <f t="shared" si="24"/>
        <v>12.992970770308768</v>
      </c>
      <c r="M90" s="77">
        <f t="shared" si="25"/>
        <v>8.280736447913112</v>
      </c>
      <c r="N90" s="77">
        <f t="shared" si="26"/>
        <v>5.3373152312836094</v>
      </c>
      <c r="O90" s="77">
        <f t="shared" si="27"/>
        <v>2.7930675310606223</v>
      </c>
      <c r="P90" s="77">
        <f t="shared" si="28"/>
        <v>4.3254361758519346</v>
      </c>
      <c r="Q90" s="77">
        <f t="shared" si="29"/>
        <v>2.8336889479131102</v>
      </c>
      <c r="R90" s="77">
        <f t="shared" si="30"/>
        <v>1.8436259756289479</v>
      </c>
      <c r="S90" s="77">
        <f t="shared" si="31"/>
        <v>1.3843992199742872</v>
      </c>
    </row>
    <row r="91" spans="1:19" ht="14.25" x14ac:dyDescent="0.2">
      <c r="A91" s="79">
        <v>81</v>
      </c>
      <c r="B91" s="78">
        <v>338</v>
      </c>
      <c r="C91" s="77">
        <f t="shared" si="16"/>
        <v>17.003942646562681</v>
      </c>
      <c r="D91" s="77">
        <f t="shared" si="17"/>
        <v>10.260573937586924</v>
      </c>
      <c r="E91" s="77">
        <f t="shared" si="18"/>
        <v>5.6481091500695388</v>
      </c>
      <c r="F91" s="77">
        <f t="shared" si="19"/>
        <v>3.6360065357639559</v>
      </c>
      <c r="G91" s="77">
        <f t="shared" si="20"/>
        <v>2.3764552286111646</v>
      </c>
      <c r="H91" s="77">
        <f t="shared" si="21"/>
        <v>1.5011282678819782</v>
      </c>
      <c r="I91" s="77">
        <f t="shared" si="22"/>
        <v>1.1862404410937801</v>
      </c>
      <c r="J91" s="77">
        <f t="shared" si="23"/>
        <v>0.74857696072918689</v>
      </c>
      <c r="K91" s="272">
        <f>+B91*(('Step 2 - Transformer Sizing'!$R$22*0.9)+('Step 2 - Transformer Sizing'!$R$23*SIN(ACOS(0.9))))/240*100</f>
        <v>0</v>
      </c>
      <c r="L91" s="77">
        <f t="shared" si="24"/>
        <v>13.188060421514605</v>
      </c>
      <c r="M91" s="77">
        <f t="shared" si="25"/>
        <v>8.4050718300139096</v>
      </c>
      <c r="N91" s="77">
        <f t="shared" si="26"/>
        <v>5.4174550996212014</v>
      </c>
      <c r="O91" s="77">
        <f t="shared" si="27"/>
        <v>2.8350054819774484</v>
      </c>
      <c r="P91" s="77">
        <f t="shared" si="28"/>
        <v>4.3903826649788398</v>
      </c>
      <c r="Q91" s="77">
        <f t="shared" si="29"/>
        <v>2.8762368300139078</v>
      </c>
      <c r="R91" s="77">
        <f t="shared" si="30"/>
        <v>1.8713080473350883</v>
      </c>
      <c r="S91" s="77">
        <f t="shared" si="31"/>
        <v>1.4051859950489765</v>
      </c>
    </row>
    <row r="92" spans="1:19" ht="14.25" x14ac:dyDescent="0.2">
      <c r="A92" s="79">
        <v>82</v>
      </c>
      <c r="B92" s="78">
        <v>342</v>
      </c>
      <c r="C92" s="77">
        <f t="shared" si="16"/>
        <v>17.205172737054546</v>
      </c>
      <c r="D92" s="77">
        <f t="shared" si="17"/>
        <v>10.382000848090911</v>
      </c>
      <c r="E92" s="77">
        <f t="shared" si="18"/>
        <v>5.7149506784727286</v>
      </c>
      <c r="F92" s="77">
        <f t="shared" si="19"/>
        <v>3.6790361989090923</v>
      </c>
      <c r="G92" s="77">
        <f t="shared" si="20"/>
        <v>2.404578959127273</v>
      </c>
      <c r="H92" s="77">
        <f t="shared" si="21"/>
        <v>1.518893099454546</v>
      </c>
      <c r="I92" s="77">
        <f t="shared" si="22"/>
        <v>1.2002787895090912</v>
      </c>
      <c r="J92" s="77">
        <f t="shared" si="23"/>
        <v>0.75743585967272764</v>
      </c>
      <c r="K92" s="272">
        <f>+B92*(('Step 2 - Transformer Sizing'!$R$22*0.9)+('Step 2 - Transformer Sizing'!$R$23*SIN(ACOS(0.9))))/240*100</f>
        <v>0</v>
      </c>
      <c r="L92" s="77">
        <f t="shared" si="24"/>
        <v>13.344132142479276</v>
      </c>
      <c r="M92" s="77">
        <f t="shared" si="25"/>
        <v>8.5045401356945458</v>
      </c>
      <c r="N92" s="77">
        <f t="shared" si="26"/>
        <v>5.4815669942912741</v>
      </c>
      <c r="O92" s="77">
        <f t="shared" si="27"/>
        <v>2.8685558427109092</v>
      </c>
      <c r="P92" s="77">
        <f t="shared" si="28"/>
        <v>4.4423398562803644</v>
      </c>
      <c r="Q92" s="77">
        <f t="shared" si="29"/>
        <v>2.9102751356945458</v>
      </c>
      <c r="R92" s="77">
        <f t="shared" si="30"/>
        <v>1.8934537047000002</v>
      </c>
      <c r="S92" s="77">
        <f t="shared" si="31"/>
        <v>1.4218154151087274</v>
      </c>
    </row>
    <row r="93" spans="1:19" ht="14.25" x14ac:dyDescent="0.2">
      <c r="A93" s="79">
        <v>83</v>
      </c>
      <c r="B93" s="78">
        <v>346</v>
      </c>
      <c r="C93" s="77">
        <f t="shared" si="16"/>
        <v>17.406402827546412</v>
      </c>
      <c r="D93" s="77">
        <f t="shared" si="17"/>
        <v>10.503427758594897</v>
      </c>
      <c r="E93" s="77">
        <f t="shared" si="18"/>
        <v>5.7817922068759176</v>
      </c>
      <c r="F93" s="77">
        <f t="shared" si="19"/>
        <v>3.7220658620542273</v>
      </c>
      <c r="G93" s="77">
        <f t="shared" si="20"/>
        <v>2.4327026896433814</v>
      </c>
      <c r="H93" s="77">
        <f t="shared" si="21"/>
        <v>1.5366579310271138</v>
      </c>
      <c r="I93" s="77">
        <f t="shared" si="22"/>
        <v>1.2143171379244022</v>
      </c>
      <c r="J93" s="77">
        <f t="shared" si="23"/>
        <v>0.76629475861626817</v>
      </c>
      <c r="K93" s="272">
        <f>+B93*(('Step 2 - Transformer Sizing'!$R$22*0.9)+('Step 2 - Transformer Sizing'!$R$23*SIN(ACOS(0.9))))/240*100</f>
        <v>0</v>
      </c>
      <c r="L93" s="77">
        <f t="shared" si="24"/>
        <v>13.500203863443943</v>
      </c>
      <c r="M93" s="77">
        <f t="shared" si="25"/>
        <v>8.6040084413751856</v>
      </c>
      <c r="N93" s="77">
        <f t="shared" si="26"/>
        <v>5.5456788889613478</v>
      </c>
      <c r="O93" s="77">
        <f t="shared" si="27"/>
        <v>2.9021062034443705</v>
      </c>
      <c r="P93" s="77">
        <f t="shared" si="28"/>
        <v>4.4942970475818891</v>
      </c>
      <c r="Q93" s="77">
        <f t="shared" si="29"/>
        <v>2.9443134413751837</v>
      </c>
      <c r="R93" s="77">
        <f t="shared" si="30"/>
        <v>1.9155993620649125</v>
      </c>
      <c r="S93" s="77">
        <f t="shared" si="31"/>
        <v>1.4384448351684789</v>
      </c>
    </row>
    <row r="94" spans="1:19" ht="14.25" x14ac:dyDescent="0.2">
      <c r="A94" s="79">
        <v>84</v>
      </c>
      <c r="B94" s="78">
        <v>350</v>
      </c>
      <c r="C94" s="77">
        <f t="shared" si="16"/>
        <v>17.607632918038281</v>
      </c>
      <c r="D94" s="77">
        <f t="shared" si="17"/>
        <v>10.624854669098886</v>
      </c>
      <c r="E94" s="77">
        <f t="shared" si="18"/>
        <v>5.8486337352791082</v>
      </c>
      <c r="F94" s="77">
        <f t="shared" si="19"/>
        <v>3.7650955251993627</v>
      </c>
      <c r="G94" s="77">
        <f t="shared" si="20"/>
        <v>2.4608264201594903</v>
      </c>
      <c r="H94" s="77">
        <f t="shared" si="21"/>
        <v>1.5544227625996814</v>
      </c>
      <c r="I94" s="77">
        <f t="shared" si="22"/>
        <v>1.2283554863397133</v>
      </c>
      <c r="J94" s="77">
        <f t="shared" si="23"/>
        <v>0.77515365755980892</v>
      </c>
      <c r="K94" s="272">
        <f>+B94*(('Step 2 - Transformer Sizing'!$R$22*0.9)+('Step 2 - Transformer Sizing'!$R$23*SIN(ACOS(0.9))))/240*100</f>
        <v>0</v>
      </c>
      <c r="L94" s="77">
        <f t="shared" si="24"/>
        <v>13.656275584408615</v>
      </c>
      <c r="M94" s="77">
        <f t="shared" si="25"/>
        <v>8.7034767470558236</v>
      </c>
      <c r="N94" s="77">
        <f t="shared" si="26"/>
        <v>5.6097907836314205</v>
      </c>
      <c r="O94" s="77">
        <f t="shared" si="27"/>
        <v>2.9356565641778314</v>
      </c>
      <c r="P94" s="77">
        <f t="shared" si="28"/>
        <v>4.5462542388834137</v>
      </c>
      <c r="Q94" s="77">
        <f t="shared" si="29"/>
        <v>2.9783517470558221</v>
      </c>
      <c r="R94" s="77">
        <f t="shared" si="30"/>
        <v>1.9377450194298249</v>
      </c>
      <c r="S94" s="77">
        <f t="shared" si="31"/>
        <v>1.4550742552282301</v>
      </c>
    </row>
    <row r="95" spans="1:19" ht="14.25" x14ac:dyDescent="0.2">
      <c r="A95" s="79">
        <v>85</v>
      </c>
      <c r="B95" s="78">
        <v>354</v>
      </c>
      <c r="C95" s="77">
        <f t="shared" si="16"/>
        <v>17.808863008530146</v>
      </c>
      <c r="D95" s="77">
        <f t="shared" si="17"/>
        <v>10.746281579602872</v>
      </c>
      <c r="E95" s="77">
        <f t="shared" si="18"/>
        <v>5.915475263682298</v>
      </c>
      <c r="F95" s="77">
        <f t="shared" si="19"/>
        <v>3.8081251883444986</v>
      </c>
      <c r="G95" s="77">
        <f t="shared" si="20"/>
        <v>2.4889501506755987</v>
      </c>
      <c r="H95" s="77">
        <f t="shared" si="21"/>
        <v>1.5721875941722492</v>
      </c>
      <c r="I95" s="77">
        <f t="shared" si="22"/>
        <v>1.2423938347550241</v>
      </c>
      <c r="J95" s="77">
        <f t="shared" si="23"/>
        <v>0.78401255650334956</v>
      </c>
      <c r="K95" s="272">
        <f>+B95*(('Step 2 - Transformer Sizing'!$R$22*0.9)+('Step 2 - Transformer Sizing'!$R$23*SIN(ACOS(0.9))))/240*100</f>
        <v>0</v>
      </c>
      <c r="L95" s="77">
        <f t="shared" si="24"/>
        <v>13.812347305373285</v>
      </c>
      <c r="M95" s="77">
        <f t="shared" si="25"/>
        <v>8.8029450527364599</v>
      </c>
      <c r="N95" s="77">
        <f t="shared" si="26"/>
        <v>5.6739026783014932</v>
      </c>
      <c r="O95" s="77">
        <f t="shared" si="27"/>
        <v>2.9692069249112922</v>
      </c>
      <c r="P95" s="77">
        <f t="shared" si="28"/>
        <v>4.5982114301849384</v>
      </c>
      <c r="Q95" s="77">
        <f t="shared" si="29"/>
        <v>3.0123900527364595</v>
      </c>
      <c r="R95" s="77">
        <f t="shared" si="30"/>
        <v>1.9598906767947375</v>
      </c>
      <c r="S95" s="77">
        <f t="shared" si="31"/>
        <v>1.4717036752879811</v>
      </c>
    </row>
    <row r="96" spans="1:19" ht="14.25" x14ac:dyDescent="0.2">
      <c r="A96" s="79">
        <v>86</v>
      </c>
      <c r="B96" s="78">
        <v>358</v>
      </c>
      <c r="C96" s="77">
        <f t="shared" si="16"/>
        <v>18.010093099022011</v>
      </c>
      <c r="D96" s="77">
        <f t="shared" si="17"/>
        <v>10.86770849010686</v>
      </c>
      <c r="E96" s="77">
        <f t="shared" si="18"/>
        <v>5.9823167920854878</v>
      </c>
      <c r="F96" s="77">
        <f t="shared" si="19"/>
        <v>3.8511548514896341</v>
      </c>
      <c r="G96" s="77">
        <f t="shared" si="20"/>
        <v>2.5170738811917071</v>
      </c>
      <c r="H96" s="77">
        <f t="shared" si="21"/>
        <v>1.5899524257448168</v>
      </c>
      <c r="I96" s="77">
        <f t="shared" si="22"/>
        <v>1.2564321831703353</v>
      </c>
      <c r="J96" s="77">
        <f t="shared" si="23"/>
        <v>0.79287145544689031</v>
      </c>
      <c r="K96" s="272">
        <f>+B96*(('Step 2 - Transformer Sizing'!$R$22*0.9)+('Step 2 - Transformer Sizing'!$R$23*SIN(ACOS(0.9))))/240*100</f>
        <v>0</v>
      </c>
      <c r="L96" s="77">
        <f t="shared" si="24"/>
        <v>13.968419026337955</v>
      </c>
      <c r="M96" s="77">
        <f t="shared" si="25"/>
        <v>8.9024133584170997</v>
      </c>
      <c r="N96" s="77">
        <f t="shared" si="26"/>
        <v>5.7380145729715677</v>
      </c>
      <c r="O96" s="77">
        <f t="shared" si="27"/>
        <v>3.0027572856447535</v>
      </c>
      <c r="P96" s="77">
        <f t="shared" si="28"/>
        <v>4.650168621486463</v>
      </c>
      <c r="Q96" s="77">
        <f t="shared" si="29"/>
        <v>3.0464283584170979</v>
      </c>
      <c r="R96" s="77">
        <f t="shared" si="30"/>
        <v>1.9820363341596494</v>
      </c>
      <c r="S96" s="77">
        <f t="shared" si="31"/>
        <v>1.4883330953477323</v>
      </c>
    </row>
    <row r="97" spans="1:19" ht="14.25" x14ac:dyDescent="0.2">
      <c r="A97" s="79">
        <v>87</v>
      </c>
      <c r="B97" s="78">
        <v>363</v>
      </c>
      <c r="C97" s="77">
        <f t="shared" si="16"/>
        <v>18.261630712136842</v>
      </c>
      <c r="D97" s="77">
        <f t="shared" si="17"/>
        <v>11.019492128236845</v>
      </c>
      <c r="E97" s="77">
        <f t="shared" si="18"/>
        <v>6.0658687025894746</v>
      </c>
      <c r="F97" s="77">
        <f t="shared" si="19"/>
        <v>3.904941930421054</v>
      </c>
      <c r="G97" s="77">
        <f t="shared" si="20"/>
        <v>2.5522285443368422</v>
      </c>
      <c r="H97" s="77">
        <f t="shared" si="21"/>
        <v>1.6121584652105267</v>
      </c>
      <c r="I97" s="77">
        <f t="shared" si="22"/>
        <v>1.2739801186894739</v>
      </c>
      <c r="J97" s="77">
        <f t="shared" si="23"/>
        <v>0.80394507912631608</v>
      </c>
      <c r="K97" s="272">
        <f>+B97*(('Step 2 - Transformer Sizing'!$R$22*0.9)+('Step 2 - Transformer Sizing'!$R$23*SIN(ACOS(0.9))))/240*100</f>
        <v>0</v>
      </c>
      <c r="L97" s="77">
        <f t="shared" si="24"/>
        <v>14.16350867754379</v>
      </c>
      <c r="M97" s="77">
        <f t="shared" si="25"/>
        <v>9.0267487405178972</v>
      </c>
      <c r="N97" s="77">
        <f t="shared" si="26"/>
        <v>5.8181544413091597</v>
      </c>
      <c r="O97" s="77">
        <f t="shared" si="27"/>
        <v>3.0446952365615796</v>
      </c>
      <c r="P97" s="77">
        <f t="shared" si="28"/>
        <v>4.7151151106133691</v>
      </c>
      <c r="Q97" s="77">
        <f t="shared" si="29"/>
        <v>3.0889762405178951</v>
      </c>
      <c r="R97" s="77">
        <f t="shared" si="30"/>
        <v>2.0097184058657898</v>
      </c>
      <c r="S97" s="77">
        <f t="shared" si="31"/>
        <v>1.5091198704224214</v>
      </c>
    </row>
    <row r="98" spans="1:19" ht="14.25" x14ac:dyDescent="0.2">
      <c r="A98" s="79">
        <v>88</v>
      </c>
      <c r="B98" s="78">
        <v>367</v>
      </c>
      <c r="C98" s="77">
        <f t="shared" si="16"/>
        <v>18.462860802628711</v>
      </c>
      <c r="D98" s="77">
        <f t="shared" si="17"/>
        <v>11.140919038740831</v>
      </c>
      <c r="E98" s="77">
        <f t="shared" si="18"/>
        <v>6.1327102309926644</v>
      </c>
      <c r="F98" s="77">
        <f t="shared" si="19"/>
        <v>3.9479715935661894</v>
      </c>
      <c r="G98" s="77">
        <f t="shared" si="20"/>
        <v>2.5803522748529506</v>
      </c>
      <c r="H98" s="77">
        <f t="shared" si="21"/>
        <v>1.6299232967830943</v>
      </c>
      <c r="I98" s="77">
        <f t="shared" si="22"/>
        <v>1.288018467104785</v>
      </c>
      <c r="J98" s="77">
        <f t="shared" si="23"/>
        <v>0.81280397806985683</v>
      </c>
      <c r="K98" s="272">
        <f>+B98*(('Step 2 - Transformer Sizing'!$R$22*0.9)+('Step 2 - Transformer Sizing'!$R$23*SIN(ACOS(0.9))))/240*100</f>
        <v>0</v>
      </c>
      <c r="L98" s="77">
        <f t="shared" si="24"/>
        <v>14.31958039850846</v>
      </c>
      <c r="M98" s="77">
        <f t="shared" si="25"/>
        <v>9.1262170461985335</v>
      </c>
      <c r="N98" s="77">
        <f t="shared" si="26"/>
        <v>5.8822663359792324</v>
      </c>
      <c r="O98" s="77">
        <f t="shared" si="27"/>
        <v>3.0782455972950404</v>
      </c>
      <c r="P98" s="77">
        <f t="shared" si="28"/>
        <v>4.7670723019148946</v>
      </c>
      <c r="Q98" s="77">
        <f t="shared" si="29"/>
        <v>3.123014546198533</v>
      </c>
      <c r="R98" s="77">
        <f t="shared" si="30"/>
        <v>2.0318640632307021</v>
      </c>
      <c r="S98" s="77">
        <f t="shared" si="31"/>
        <v>1.5257492904821726</v>
      </c>
    </row>
    <row r="99" spans="1:19" ht="14.25" x14ac:dyDescent="0.2">
      <c r="A99" s="79">
        <v>89</v>
      </c>
      <c r="B99" s="78">
        <v>371</v>
      </c>
      <c r="C99" s="77">
        <f t="shared" si="16"/>
        <v>18.664090893120573</v>
      </c>
      <c r="D99" s="77">
        <f t="shared" si="17"/>
        <v>11.262345949244819</v>
      </c>
      <c r="E99" s="77">
        <f t="shared" si="18"/>
        <v>6.1995517593958542</v>
      </c>
      <c r="F99" s="77">
        <f t="shared" si="19"/>
        <v>3.9910012567113249</v>
      </c>
      <c r="G99" s="77">
        <f t="shared" si="20"/>
        <v>2.6084760053690594</v>
      </c>
      <c r="H99" s="77">
        <f t="shared" si="21"/>
        <v>1.6476881283556626</v>
      </c>
      <c r="I99" s="77">
        <f t="shared" si="22"/>
        <v>1.3020568155200962</v>
      </c>
      <c r="J99" s="77">
        <f t="shared" si="23"/>
        <v>0.82166287701339735</v>
      </c>
      <c r="K99" s="272">
        <f>+B99*(('Step 2 - Transformer Sizing'!$R$22*0.9)+('Step 2 - Transformer Sizing'!$R$23*SIN(ACOS(0.9))))/240*100</f>
        <v>0</v>
      </c>
      <c r="L99" s="77">
        <f t="shared" si="24"/>
        <v>14.475652119473132</v>
      </c>
      <c r="M99" s="77">
        <f t="shared" si="25"/>
        <v>9.2256853518791733</v>
      </c>
      <c r="N99" s="77">
        <f t="shared" si="26"/>
        <v>5.946378230649306</v>
      </c>
      <c r="O99" s="77">
        <f t="shared" si="27"/>
        <v>3.1117959580285013</v>
      </c>
      <c r="P99" s="77">
        <f t="shared" si="28"/>
        <v>4.8190294932164184</v>
      </c>
      <c r="Q99" s="77">
        <f t="shared" si="29"/>
        <v>3.157052851879171</v>
      </c>
      <c r="R99" s="77">
        <f t="shared" si="30"/>
        <v>2.054009720595614</v>
      </c>
      <c r="S99" s="77">
        <f t="shared" si="31"/>
        <v>1.542378710541924</v>
      </c>
    </row>
    <row r="100" spans="1:19" ht="14.25" x14ac:dyDescent="0.2">
      <c r="A100" s="79">
        <v>90</v>
      </c>
      <c r="B100" s="78">
        <v>375</v>
      </c>
      <c r="C100" s="77">
        <f t="shared" si="16"/>
        <v>18.865320983612442</v>
      </c>
      <c r="D100" s="77">
        <f t="shared" si="17"/>
        <v>11.383772859748806</v>
      </c>
      <c r="E100" s="77">
        <f t="shared" si="18"/>
        <v>6.2663932877990449</v>
      </c>
      <c r="F100" s="77">
        <f t="shared" si="19"/>
        <v>4.0340309198564599</v>
      </c>
      <c r="G100" s="77">
        <f t="shared" si="20"/>
        <v>2.6365997358851678</v>
      </c>
      <c r="H100" s="77">
        <f t="shared" si="21"/>
        <v>1.6654529599282302</v>
      </c>
      <c r="I100" s="77">
        <f t="shared" si="22"/>
        <v>1.316095163935407</v>
      </c>
      <c r="J100" s="77">
        <f t="shared" si="23"/>
        <v>0.8305217759569381</v>
      </c>
      <c r="K100" s="272">
        <f>+B100*(('Step 2 - Transformer Sizing'!$R$22*0.9)+('Step 2 - Transformer Sizing'!$R$23*SIN(ACOS(0.9))))/240*100</f>
        <v>0</v>
      </c>
      <c r="L100" s="77">
        <f t="shared" si="24"/>
        <v>14.631723840437799</v>
      </c>
      <c r="M100" s="77">
        <f t="shared" si="25"/>
        <v>9.3251536575598113</v>
      </c>
      <c r="N100" s="77">
        <f t="shared" si="26"/>
        <v>6.0104901253193797</v>
      </c>
      <c r="O100" s="77">
        <f t="shared" si="27"/>
        <v>3.1453463187619621</v>
      </c>
      <c r="P100" s="77">
        <f t="shared" si="28"/>
        <v>4.870986684517943</v>
      </c>
      <c r="Q100" s="77">
        <f t="shared" si="29"/>
        <v>3.1910911575598089</v>
      </c>
      <c r="R100" s="77">
        <f t="shared" si="30"/>
        <v>2.0761553779605268</v>
      </c>
      <c r="S100" s="77">
        <f t="shared" si="31"/>
        <v>1.559008130601675</v>
      </c>
    </row>
    <row r="101" spans="1:19" ht="14.25" x14ac:dyDescent="0.2">
      <c r="A101" s="79">
        <v>91</v>
      </c>
      <c r="B101" s="78">
        <v>379</v>
      </c>
      <c r="C101" s="77">
        <f t="shared" si="16"/>
        <v>19.066551074104307</v>
      </c>
      <c r="D101" s="77">
        <f t="shared" si="17"/>
        <v>11.505199770252792</v>
      </c>
      <c r="E101" s="77">
        <f t="shared" si="18"/>
        <v>6.3332348162022338</v>
      </c>
      <c r="F101" s="77">
        <f t="shared" si="19"/>
        <v>4.0770605830015949</v>
      </c>
      <c r="G101" s="77">
        <f t="shared" si="20"/>
        <v>2.6647234664012762</v>
      </c>
      <c r="H101" s="77">
        <f t="shared" si="21"/>
        <v>1.683217791500798</v>
      </c>
      <c r="I101" s="77">
        <f t="shared" si="22"/>
        <v>1.3301335123507179</v>
      </c>
      <c r="J101" s="77">
        <f t="shared" si="23"/>
        <v>0.83938067490047874</v>
      </c>
      <c r="K101" s="272">
        <f>+B101*(('Step 2 - Transformer Sizing'!$R$22*0.9)+('Step 2 - Transformer Sizing'!$R$23*SIN(ACOS(0.9))))/240*100</f>
        <v>0</v>
      </c>
      <c r="L101" s="77">
        <f t="shared" si="24"/>
        <v>14.78779556140247</v>
      </c>
      <c r="M101" s="77">
        <f t="shared" si="25"/>
        <v>9.4246219632404475</v>
      </c>
      <c r="N101" s="77">
        <f t="shared" si="26"/>
        <v>6.0746020199894524</v>
      </c>
      <c r="O101" s="77">
        <f t="shared" si="27"/>
        <v>3.178896679495423</v>
      </c>
      <c r="P101" s="77">
        <f t="shared" si="28"/>
        <v>4.9229438758194677</v>
      </c>
      <c r="Q101" s="77">
        <f t="shared" si="29"/>
        <v>3.2251294632404468</v>
      </c>
      <c r="R101" s="77">
        <f t="shared" si="30"/>
        <v>2.0983010353254392</v>
      </c>
      <c r="S101" s="77">
        <f t="shared" si="31"/>
        <v>1.575637550661426</v>
      </c>
    </row>
    <row r="102" spans="1:19" ht="14.25" x14ac:dyDescent="0.2">
      <c r="A102" s="79">
        <v>92</v>
      </c>
      <c r="B102" s="78">
        <v>383</v>
      </c>
      <c r="C102" s="77">
        <f t="shared" si="16"/>
        <v>19.267781164596176</v>
      </c>
      <c r="D102" s="77">
        <f t="shared" si="17"/>
        <v>11.626626680756779</v>
      </c>
      <c r="E102" s="77">
        <f t="shared" si="18"/>
        <v>6.4000763446054236</v>
      </c>
      <c r="F102" s="77">
        <f t="shared" si="19"/>
        <v>4.1200902461467317</v>
      </c>
      <c r="G102" s="77">
        <f t="shared" si="20"/>
        <v>2.6928471969173846</v>
      </c>
      <c r="H102" s="77">
        <f t="shared" si="21"/>
        <v>1.7009826230733656</v>
      </c>
      <c r="I102" s="77">
        <f t="shared" si="22"/>
        <v>1.3441718607660291</v>
      </c>
      <c r="J102" s="77">
        <f t="shared" si="23"/>
        <v>0.84823957384401949</v>
      </c>
      <c r="K102" s="272">
        <f>+B102*(('Step 2 - Transformer Sizing'!$R$22*0.9)+('Step 2 - Transformer Sizing'!$R$23*SIN(ACOS(0.9))))/240*100</f>
        <v>0</v>
      </c>
      <c r="L102" s="77">
        <f t="shared" si="24"/>
        <v>14.94386728236714</v>
      </c>
      <c r="M102" s="77">
        <f t="shared" si="25"/>
        <v>9.5240902689210873</v>
      </c>
      <c r="N102" s="77">
        <f t="shared" si="26"/>
        <v>6.138713914659526</v>
      </c>
      <c r="O102" s="77">
        <f t="shared" si="27"/>
        <v>3.2124470402288843</v>
      </c>
      <c r="P102" s="77">
        <f t="shared" si="28"/>
        <v>4.9749010671209932</v>
      </c>
      <c r="Q102" s="77">
        <f t="shared" si="29"/>
        <v>3.2591677689210847</v>
      </c>
      <c r="R102" s="77">
        <f t="shared" si="30"/>
        <v>2.1204466926903516</v>
      </c>
      <c r="S102" s="77">
        <f t="shared" si="31"/>
        <v>1.5922669707211776</v>
      </c>
    </row>
    <row r="103" spans="1:19" ht="14.25" x14ac:dyDescent="0.2">
      <c r="A103" s="79">
        <v>93</v>
      </c>
      <c r="B103" s="78">
        <v>388</v>
      </c>
      <c r="C103" s="77">
        <f t="shared" si="16"/>
        <v>19.519318777711007</v>
      </c>
      <c r="D103" s="77">
        <f t="shared" si="17"/>
        <v>11.778410318886765</v>
      </c>
      <c r="E103" s="77">
        <f t="shared" si="18"/>
        <v>6.4836282551094122</v>
      </c>
      <c r="F103" s="77">
        <f t="shared" si="19"/>
        <v>4.1738773250781502</v>
      </c>
      <c r="G103" s="77">
        <f t="shared" si="20"/>
        <v>2.7280018600625202</v>
      </c>
      <c r="H103" s="77">
        <f t="shared" si="21"/>
        <v>1.7231886625390755</v>
      </c>
      <c r="I103" s="77">
        <f t="shared" si="22"/>
        <v>1.3617197962851677</v>
      </c>
      <c r="J103" s="77">
        <f t="shared" si="23"/>
        <v>0.85931319752344526</v>
      </c>
      <c r="K103" s="272">
        <f>+B103*(('Step 2 - Transformer Sizing'!$R$22*0.9)+('Step 2 - Transformer Sizing'!$R$23*SIN(ACOS(0.9))))/240*100</f>
        <v>0</v>
      </c>
      <c r="L103" s="77">
        <f t="shared" si="24"/>
        <v>15.138956933572977</v>
      </c>
      <c r="M103" s="77">
        <f t="shared" si="25"/>
        <v>9.6484256510218849</v>
      </c>
      <c r="N103" s="77">
        <f t="shared" si="26"/>
        <v>6.218853782997118</v>
      </c>
      <c r="O103" s="77">
        <f t="shared" si="27"/>
        <v>3.2543849911457103</v>
      </c>
      <c r="P103" s="77">
        <f t="shared" si="28"/>
        <v>5.0398475562478993</v>
      </c>
      <c r="Q103" s="77">
        <f t="shared" si="29"/>
        <v>3.3017156510218824</v>
      </c>
      <c r="R103" s="77">
        <f t="shared" si="30"/>
        <v>2.1481287643964913</v>
      </c>
      <c r="S103" s="77">
        <f t="shared" si="31"/>
        <v>1.6130537457958665</v>
      </c>
    </row>
    <row r="104" spans="1:19" ht="14.25" x14ac:dyDescent="0.2">
      <c r="A104" s="79">
        <v>94</v>
      </c>
      <c r="B104" s="78">
        <v>392</v>
      </c>
      <c r="C104" s="77">
        <f t="shared" si="16"/>
        <v>19.720548868202876</v>
      </c>
      <c r="D104" s="77">
        <f t="shared" si="17"/>
        <v>11.899837229390752</v>
      </c>
      <c r="E104" s="77">
        <f t="shared" si="18"/>
        <v>6.5504697835126011</v>
      </c>
      <c r="F104" s="77">
        <f t="shared" si="19"/>
        <v>4.216906988223287</v>
      </c>
      <c r="G104" s="77">
        <f t="shared" si="20"/>
        <v>2.756125590578629</v>
      </c>
      <c r="H104" s="77">
        <f t="shared" si="21"/>
        <v>1.7409534941116431</v>
      </c>
      <c r="I104" s="77">
        <f t="shared" si="22"/>
        <v>1.3757581447004787</v>
      </c>
      <c r="J104" s="77">
        <f t="shared" si="23"/>
        <v>0.86817209646698579</v>
      </c>
      <c r="K104" s="272">
        <f>+B104*(('Step 2 - Transformer Sizing'!$R$22*0.9)+('Step 2 - Transformer Sizing'!$R$23*SIN(ACOS(0.9))))/240*100</f>
        <v>0</v>
      </c>
      <c r="L104" s="77">
        <f t="shared" si="24"/>
        <v>15.295028654537649</v>
      </c>
      <c r="M104" s="77">
        <f t="shared" si="25"/>
        <v>9.7478939567025211</v>
      </c>
      <c r="N104" s="77">
        <f t="shared" si="26"/>
        <v>6.2829656776671907</v>
      </c>
      <c r="O104" s="77">
        <f t="shared" si="27"/>
        <v>3.2879353518791712</v>
      </c>
      <c r="P104" s="77">
        <f t="shared" si="28"/>
        <v>5.0918047475494239</v>
      </c>
      <c r="Q104" s="77">
        <f t="shared" si="29"/>
        <v>3.3357539567025203</v>
      </c>
      <c r="R104" s="77">
        <f t="shared" si="30"/>
        <v>2.1702744217614036</v>
      </c>
      <c r="S104" s="77">
        <f t="shared" si="31"/>
        <v>1.6296831658556177</v>
      </c>
    </row>
    <row r="105" spans="1:19" ht="14.25" x14ac:dyDescent="0.2">
      <c r="A105" s="79">
        <v>95</v>
      </c>
      <c r="B105" s="78">
        <v>396</v>
      </c>
      <c r="C105" s="77">
        <f t="shared" si="16"/>
        <v>19.921778958694738</v>
      </c>
      <c r="D105" s="77">
        <f t="shared" si="17"/>
        <v>12.02126413989474</v>
      </c>
      <c r="E105" s="77">
        <f t="shared" si="18"/>
        <v>6.6173113119157909</v>
      </c>
      <c r="F105" s="77">
        <f t="shared" si="19"/>
        <v>4.259936651368422</v>
      </c>
      <c r="G105" s="77">
        <f t="shared" si="20"/>
        <v>2.7842493210947374</v>
      </c>
      <c r="H105" s="77">
        <f t="shared" si="21"/>
        <v>1.7587183256842109</v>
      </c>
      <c r="I105" s="77">
        <f t="shared" si="22"/>
        <v>1.3897964931157898</v>
      </c>
      <c r="J105" s="77">
        <f t="shared" si="23"/>
        <v>0.87703099541052676</v>
      </c>
      <c r="K105" s="272">
        <f>+B105*(('Step 2 - Transformer Sizing'!$R$22*0.9)+('Step 2 - Transformer Sizing'!$R$23*SIN(ACOS(0.9))))/240*100</f>
        <v>0</v>
      </c>
      <c r="L105" s="77">
        <f t="shared" si="24"/>
        <v>15.451100375502319</v>
      </c>
      <c r="M105" s="77">
        <f t="shared" si="25"/>
        <v>9.8473622623831591</v>
      </c>
      <c r="N105" s="77">
        <f t="shared" si="26"/>
        <v>6.3470775723372643</v>
      </c>
      <c r="O105" s="77">
        <f t="shared" si="27"/>
        <v>3.3214857126126325</v>
      </c>
      <c r="P105" s="77">
        <f t="shared" si="28"/>
        <v>5.1437619388509477</v>
      </c>
      <c r="Q105" s="77">
        <f t="shared" si="29"/>
        <v>3.3697922623831582</v>
      </c>
      <c r="R105" s="77">
        <f t="shared" si="30"/>
        <v>2.1924200791263164</v>
      </c>
      <c r="S105" s="77">
        <f t="shared" si="31"/>
        <v>1.6463125859153687</v>
      </c>
    </row>
    <row r="106" spans="1:19" ht="14.25" x14ac:dyDescent="0.2">
      <c r="A106" s="79">
        <v>96</v>
      </c>
      <c r="B106" s="78">
        <v>400</v>
      </c>
      <c r="C106" s="77">
        <f t="shared" si="16"/>
        <v>20.123009049186606</v>
      </c>
      <c r="D106" s="77">
        <f t="shared" si="17"/>
        <v>12.142691050398726</v>
      </c>
      <c r="E106" s="77">
        <f t="shared" si="18"/>
        <v>6.6841528403189816</v>
      </c>
      <c r="F106" s="77">
        <f t="shared" si="19"/>
        <v>4.302966314513557</v>
      </c>
      <c r="G106" s="77">
        <f t="shared" si="20"/>
        <v>2.8123730516108458</v>
      </c>
      <c r="H106" s="77">
        <f t="shared" si="21"/>
        <v>1.776483157256779</v>
      </c>
      <c r="I106" s="77">
        <f t="shared" si="22"/>
        <v>1.4038348415311008</v>
      </c>
      <c r="J106" s="77">
        <f t="shared" si="23"/>
        <v>0.88588989435406729</v>
      </c>
      <c r="K106" s="272">
        <f>+B106*(('Step 2 - Transformer Sizing'!$R$22*0.9)+('Step 2 - Transformer Sizing'!$R$23*SIN(ACOS(0.9))))/240*100</f>
        <v>0</v>
      </c>
      <c r="L106" s="77">
        <f t="shared" si="24"/>
        <v>15.607172096466989</v>
      </c>
      <c r="M106" s="77">
        <f t="shared" si="25"/>
        <v>9.9468305680637989</v>
      </c>
      <c r="N106" s="77">
        <f t="shared" si="26"/>
        <v>6.4111894670073371</v>
      </c>
      <c r="O106" s="77">
        <f t="shared" si="27"/>
        <v>3.3550360733460933</v>
      </c>
      <c r="P106" s="77">
        <f t="shared" si="28"/>
        <v>5.1957191301524732</v>
      </c>
      <c r="Q106" s="77">
        <f t="shared" si="29"/>
        <v>3.4038305680637961</v>
      </c>
      <c r="R106" s="77">
        <f t="shared" si="30"/>
        <v>2.2145657364912288</v>
      </c>
      <c r="S106" s="77">
        <f t="shared" si="31"/>
        <v>1.6629420059751199</v>
      </c>
    </row>
    <row r="107" spans="1:19" ht="14.25" x14ac:dyDescent="0.2">
      <c r="A107" s="79">
        <v>97</v>
      </c>
      <c r="B107" s="78">
        <v>404</v>
      </c>
      <c r="C107" s="77">
        <f t="shared" si="16"/>
        <v>20.324239139678472</v>
      </c>
      <c r="D107" s="77">
        <f t="shared" si="17"/>
        <v>12.264117960902714</v>
      </c>
      <c r="E107" s="77">
        <f t="shared" si="18"/>
        <v>6.7509943687221714</v>
      </c>
      <c r="F107" s="77">
        <f t="shared" si="19"/>
        <v>4.3459959776586929</v>
      </c>
      <c r="G107" s="77">
        <f t="shared" si="20"/>
        <v>2.8404967821269542</v>
      </c>
      <c r="H107" s="77">
        <f t="shared" si="21"/>
        <v>1.7942479888293463</v>
      </c>
      <c r="I107" s="77">
        <f t="shared" si="22"/>
        <v>1.4178731899464119</v>
      </c>
      <c r="J107" s="77">
        <f t="shared" si="23"/>
        <v>0.89474879329760804</v>
      </c>
      <c r="K107" s="272">
        <f>+B107*(('Step 2 - Transformer Sizing'!$R$22*0.9)+('Step 2 - Transformer Sizing'!$R$23*SIN(ACOS(0.9))))/240*100</f>
        <v>0</v>
      </c>
      <c r="L107" s="77">
        <f t="shared" si="24"/>
        <v>15.763243817431654</v>
      </c>
      <c r="M107" s="77">
        <f t="shared" si="25"/>
        <v>10.046298873744435</v>
      </c>
      <c r="N107" s="77">
        <f t="shared" si="26"/>
        <v>6.4753013616774115</v>
      </c>
      <c r="O107" s="77">
        <f t="shared" si="27"/>
        <v>3.3885864340795537</v>
      </c>
      <c r="P107" s="77">
        <f t="shared" si="28"/>
        <v>5.2476763214539979</v>
      </c>
      <c r="Q107" s="77">
        <f t="shared" si="29"/>
        <v>3.4378688737444341</v>
      </c>
      <c r="R107" s="77">
        <f t="shared" si="30"/>
        <v>2.2367113938561407</v>
      </c>
      <c r="S107" s="77">
        <f t="shared" si="31"/>
        <v>1.6795714260348711</v>
      </c>
    </row>
    <row r="108" spans="1:19" ht="14.25" x14ac:dyDescent="0.2">
      <c r="A108" s="79">
        <v>98</v>
      </c>
      <c r="B108" s="78">
        <v>408</v>
      </c>
      <c r="C108" s="77">
        <f t="shared" si="16"/>
        <v>20.525469230170341</v>
      </c>
      <c r="D108" s="77">
        <f t="shared" si="17"/>
        <v>12.385544871406701</v>
      </c>
      <c r="E108" s="77">
        <f t="shared" si="18"/>
        <v>6.8178358971253612</v>
      </c>
      <c r="F108" s="77">
        <f t="shared" si="19"/>
        <v>4.3890256408038297</v>
      </c>
      <c r="G108" s="77">
        <f t="shared" si="20"/>
        <v>2.8686205126430626</v>
      </c>
      <c r="H108" s="77">
        <f t="shared" si="21"/>
        <v>1.8120128204019144</v>
      </c>
      <c r="I108" s="77">
        <f t="shared" si="22"/>
        <v>1.4319115383617227</v>
      </c>
      <c r="J108" s="77">
        <f t="shared" si="23"/>
        <v>0.90360769224114867</v>
      </c>
      <c r="K108" s="272">
        <f>+B108*(('Step 2 - Transformer Sizing'!$R$22*0.9)+('Step 2 - Transformer Sizing'!$R$23*SIN(ACOS(0.9))))/240*100</f>
        <v>0</v>
      </c>
      <c r="L108" s="77">
        <f t="shared" si="24"/>
        <v>15.919315538396326</v>
      </c>
      <c r="M108" s="77">
        <f t="shared" si="25"/>
        <v>10.145767179425073</v>
      </c>
      <c r="N108" s="77">
        <f t="shared" si="26"/>
        <v>6.5394132563474843</v>
      </c>
      <c r="O108" s="77">
        <f t="shared" si="27"/>
        <v>3.4221367948130146</v>
      </c>
      <c r="P108" s="77">
        <f t="shared" si="28"/>
        <v>5.2996335127555225</v>
      </c>
      <c r="Q108" s="77">
        <f t="shared" si="29"/>
        <v>3.4719071794250724</v>
      </c>
      <c r="R108" s="77">
        <f t="shared" si="30"/>
        <v>2.2588570512210531</v>
      </c>
      <c r="S108" s="77">
        <f t="shared" si="31"/>
        <v>1.6962008460946223</v>
      </c>
    </row>
    <row r="109" spans="1:19" ht="14.25" x14ac:dyDescent="0.2">
      <c r="A109" s="79">
        <v>99</v>
      </c>
      <c r="B109" s="78">
        <v>413</v>
      </c>
      <c r="C109" s="77">
        <f t="shared" si="16"/>
        <v>20.777006843285172</v>
      </c>
      <c r="D109" s="77">
        <f t="shared" si="17"/>
        <v>12.537328509536685</v>
      </c>
      <c r="E109" s="77">
        <f t="shared" si="18"/>
        <v>6.9013878076293471</v>
      </c>
      <c r="F109" s="77">
        <f t="shared" si="19"/>
        <v>4.4428127197352483</v>
      </c>
      <c r="G109" s="77">
        <f t="shared" si="20"/>
        <v>2.9037751757881982</v>
      </c>
      <c r="H109" s="77">
        <f t="shared" si="21"/>
        <v>1.8342188598676243</v>
      </c>
      <c r="I109" s="77">
        <f t="shared" si="22"/>
        <v>1.4494594738808617</v>
      </c>
      <c r="J109" s="77">
        <f t="shared" si="23"/>
        <v>0.91468131592057444</v>
      </c>
      <c r="K109" s="272">
        <f>+B109*(('Step 2 - Transformer Sizing'!$R$22*0.9)+('Step 2 - Transformer Sizing'!$R$23*SIN(ACOS(0.9))))/240*100</f>
        <v>0</v>
      </c>
      <c r="L109" s="77">
        <f t="shared" si="24"/>
        <v>16.114405189602163</v>
      </c>
      <c r="M109" s="77">
        <f t="shared" si="25"/>
        <v>10.270102561525871</v>
      </c>
      <c r="N109" s="77">
        <f t="shared" si="26"/>
        <v>6.6195531246850763</v>
      </c>
      <c r="O109" s="77">
        <f t="shared" si="27"/>
        <v>3.4640747457298406</v>
      </c>
      <c r="P109" s="77">
        <f t="shared" si="28"/>
        <v>5.3645800018824286</v>
      </c>
      <c r="Q109" s="77">
        <f t="shared" si="29"/>
        <v>3.5144550615258696</v>
      </c>
      <c r="R109" s="77">
        <f t="shared" si="30"/>
        <v>2.2865391229271932</v>
      </c>
      <c r="S109" s="77">
        <f t="shared" si="31"/>
        <v>1.7169876211693116</v>
      </c>
    </row>
    <row r="110" spans="1:19" ht="14.25" x14ac:dyDescent="0.2">
      <c r="A110" s="79">
        <v>100</v>
      </c>
      <c r="B110" s="78">
        <v>417</v>
      </c>
      <c r="C110" s="77">
        <f t="shared" si="16"/>
        <v>20.978236933777037</v>
      </c>
      <c r="D110" s="77">
        <f t="shared" si="17"/>
        <v>12.658755420040674</v>
      </c>
      <c r="E110" s="77">
        <f t="shared" si="18"/>
        <v>6.9682293360325369</v>
      </c>
      <c r="F110" s="77">
        <f t="shared" si="19"/>
        <v>4.4858423828803833</v>
      </c>
      <c r="G110" s="77">
        <f t="shared" si="20"/>
        <v>2.9318989063043066</v>
      </c>
      <c r="H110" s="77">
        <f t="shared" si="21"/>
        <v>1.8519836914401917</v>
      </c>
      <c r="I110" s="77">
        <f t="shared" si="22"/>
        <v>1.4634978222961725</v>
      </c>
      <c r="J110" s="77">
        <f t="shared" si="23"/>
        <v>0.92354021486411519</v>
      </c>
      <c r="K110" s="272">
        <f>+B110*(('Step 2 - Transformer Sizing'!$R$22*0.9)+('Step 2 - Transformer Sizing'!$R$23*SIN(ACOS(0.9))))/240*100</f>
        <v>0</v>
      </c>
      <c r="L110" s="77">
        <f t="shared" si="24"/>
        <v>16.270476910566835</v>
      </c>
      <c r="M110" s="77">
        <f t="shared" si="25"/>
        <v>10.369570867206509</v>
      </c>
      <c r="N110" s="77">
        <f t="shared" si="26"/>
        <v>6.6836650193551508</v>
      </c>
      <c r="O110" s="77">
        <f t="shared" si="27"/>
        <v>3.4976251064633015</v>
      </c>
      <c r="P110" s="77">
        <f t="shared" si="28"/>
        <v>5.4165371931839532</v>
      </c>
      <c r="Q110" s="77">
        <f t="shared" si="29"/>
        <v>3.5484933672065075</v>
      </c>
      <c r="R110" s="77">
        <f t="shared" si="30"/>
        <v>2.308684780292106</v>
      </c>
      <c r="S110" s="77">
        <f t="shared" si="31"/>
        <v>1.7336170412290626</v>
      </c>
    </row>
    <row r="111" spans="1:19" ht="14.25" x14ac:dyDescent="0.2">
      <c r="A111" s="79">
        <v>101</v>
      </c>
      <c r="B111" s="78">
        <v>421</v>
      </c>
      <c r="C111" s="77">
        <f t="shared" si="16"/>
        <v>21.179467024268902</v>
      </c>
      <c r="D111" s="77">
        <f t="shared" si="17"/>
        <v>12.78018233054466</v>
      </c>
      <c r="E111" s="77">
        <f t="shared" si="18"/>
        <v>7.0350708644357276</v>
      </c>
      <c r="F111" s="77">
        <f t="shared" si="19"/>
        <v>4.5288720460255201</v>
      </c>
      <c r="G111" s="77">
        <f t="shared" si="20"/>
        <v>2.960022636820415</v>
      </c>
      <c r="H111" s="77">
        <f t="shared" si="21"/>
        <v>1.8697485230127597</v>
      </c>
      <c r="I111" s="77">
        <f t="shared" si="22"/>
        <v>1.4775361707114836</v>
      </c>
      <c r="J111" s="77">
        <f t="shared" si="23"/>
        <v>0.93239911380765572</v>
      </c>
      <c r="K111" s="272">
        <f>+B111*(('Step 2 - Transformer Sizing'!$R$22*0.9)+('Step 2 - Transformer Sizing'!$R$23*SIN(ACOS(0.9))))/240*100</f>
        <v>0</v>
      </c>
      <c r="L111" s="77">
        <f t="shared" si="24"/>
        <v>16.426548631531503</v>
      </c>
      <c r="M111" s="77">
        <f t="shared" si="25"/>
        <v>10.469039172887147</v>
      </c>
      <c r="N111" s="77">
        <f t="shared" si="26"/>
        <v>6.7477769140252235</v>
      </c>
      <c r="O111" s="77">
        <f t="shared" si="27"/>
        <v>3.5311754671967637</v>
      </c>
      <c r="P111" s="77">
        <f t="shared" si="28"/>
        <v>5.4684943844854779</v>
      </c>
      <c r="Q111" s="77">
        <f t="shared" si="29"/>
        <v>3.5825316728871459</v>
      </c>
      <c r="R111" s="77">
        <f t="shared" si="30"/>
        <v>2.3308304376570179</v>
      </c>
      <c r="S111" s="77">
        <f t="shared" si="31"/>
        <v>1.7502464612888138</v>
      </c>
    </row>
    <row r="112" spans="1:19" ht="14.25" x14ac:dyDescent="0.2">
      <c r="A112" s="79">
        <v>102</v>
      </c>
      <c r="B112" s="78">
        <v>425</v>
      </c>
      <c r="C112" s="77">
        <f t="shared" si="16"/>
        <v>21.380697114760768</v>
      </c>
      <c r="D112" s="77">
        <f t="shared" si="17"/>
        <v>12.901609241048648</v>
      </c>
      <c r="E112" s="77">
        <f t="shared" si="18"/>
        <v>7.1019123928389174</v>
      </c>
      <c r="F112" s="77">
        <f t="shared" si="19"/>
        <v>4.5719017091706551</v>
      </c>
      <c r="G112" s="77">
        <f t="shared" si="20"/>
        <v>2.9881463673365234</v>
      </c>
      <c r="H112" s="77">
        <f t="shared" si="21"/>
        <v>1.8875133545853275</v>
      </c>
      <c r="I112" s="77">
        <f t="shared" si="22"/>
        <v>1.4915745191267946</v>
      </c>
      <c r="J112" s="77">
        <f t="shared" si="23"/>
        <v>0.94125801275119669</v>
      </c>
      <c r="K112" s="272">
        <f>+B112*(('Step 2 - Transformer Sizing'!$R$22*0.9)+('Step 2 - Transformer Sizing'!$R$23*SIN(ACOS(0.9))))/240*100</f>
        <v>0</v>
      </c>
      <c r="L112" s="77">
        <f t="shared" si="24"/>
        <v>16.582620352496175</v>
      </c>
      <c r="M112" s="77">
        <f t="shared" si="25"/>
        <v>10.568507478567787</v>
      </c>
      <c r="N112" s="77">
        <f t="shared" si="26"/>
        <v>6.8118888086952962</v>
      </c>
      <c r="O112" s="77">
        <f t="shared" si="27"/>
        <v>3.5647258279302241</v>
      </c>
      <c r="P112" s="77">
        <f t="shared" si="28"/>
        <v>5.5204515757870025</v>
      </c>
      <c r="Q112" s="77">
        <f t="shared" si="29"/>
        <v>3.6165699785677838</v>
      </c>
      <c r="R112" s="77">
        <f t="shared" si="30"/>
        <v>2.3529760950219303</v>
      </c>
      <c r="S112" s="77">
        <f t="shared" si="31"/>
        <v>1.766875881348565</v>
      </c>
    </row>
    <row r="113" spans="1:19" ht="14.25" x14ac:dyDescent="0.2">
      <c r="A113" s="79">
        <v>103</v>
      </c>
      <c r="B113" s="78">
        <v>429</v>
      </c>
      <c r="C113" s="77">
        <f t="shared" si="16"/>
        <v>21.581927205252637</v>
      </c>
      <c r="D113" s="77">
        <f t="shared" si="17"/>
        <v>13.023036151552633</v>
      </c>
      <c r="E113" s="77">
        <f t="shared" si="18"/>
        <v>7.1687539212421063</v>
      </c>
      <c r="F113" s="77">
        <f t="shared" si="19"/>
        <v>4.614931372315791</v>
      </c>
      <c r="G113" s="77">
        <f t="shared" si="20"/>
        <v>3.0162700978526318</v>
      </c>
      <c r="H113" s="77">
        <f t="shared" si="21"/>
        <v>1.9052781861578951</v>
      </c>
      <c r="I113" s="77">
        <f t="shared" si="22"/>
        <v>1.5056128675421057</v>
      </c>
      <c r="J113" s="77">
        <f t="shared" si="23"/>
        <v>0.95011691169473722</v>
      </c>
      <c r="K113" s="272">
        <f>+B113*(('Step 2 - Transformer Sizing'!$R$22*0.9)+('Step 2 - Transformer Sizing'!$R$23*SIN(ACOS(0.9))))/240*100</f>
        <v>0</v>
      </c>
      <c r="L113" s="77">
        <f t="shared" si="24"/>
        <v>16.738692073460847</v>
      </c>
      <c r="M113" s="77">
        <f t="shared" si="25"/>
        <v>10.667975784248423</v>
      </c>
      <c r="N113" s="77">
        <f t="shared" si="26"/>
        <v>6.8760007033653689</v>
      </c>
      <c r="O113" s="77">
        <f t="shared" si="27"/>
        <v>3.5982761886636849</v>
      </c>
      <c r="P113" s="77">
        <f t="shared" si="28"/>
        <v>5.5724087670885281</v>
      </c>
      <c r="Q113" s="77">
        <f t="shared" si="29"/>
        <v>3.6506082842484218</v>
      </c>
      <c r="R113" s="77">
        <f t="shared" si="30"/>
        <v>2.3751217523868426</v>
      </c>
      <c r="S113" s="77">
        <f t="shared" si="31"/>
        <v>1.7835053014083162</v>
      </c>
    </row>
    <row r="114" spans="1:19" ht="14.25" x14ac:dyDescent="0.2">
      <c r="A114" s="79">
        <v>104</v>
      </c>
      <c r="B114" s="78">
        <v>433</v>
      </c>
      <c r="C114" s="77">
        <f t="shared" si="16"/>
        <v>21.783157295744502</v>
      </c>
      <c r="D114" s="77">
        <f t="shared" si="17"/>
        <v>13.144463062056621</v>
      </c>
      <c r="E114" s="77">
        <f t="shared" si="18"/>
        <v>7.2355954496452961</v>
      </c>
      <c r="F114" s="77">
        <f t="shared" si="19"/>
        <v>4.657961035460926</v>
      </c>
      <c r="G114" s="77">
        <f t="shared" si="20"/>
        <v>3.0443938283687406</v>
      </c>
      <c r="H114" s="77">
        <f t="shared" si="21"/>
        <v>1.9230430177304629</v>
      </c>
      <c r="I114" s="77">
        <f t="shared" si="22"/>
        <v>1.5196512159574165</v>
      </c>
      <c r="J114" s="77">
        <f t="shared" si="23"/>
        <v>0.95897581063827775</v>
      </c>
      <c r="K114" s="272">
        <f>+B114*(('Step 2 - Transformer Sizing'!$R$22*0.9)+('Step 2 - Transformer Sizing'!$R$23*SIN(ACOS(0.9))))/240*100</f>
        <v>0</v>
      </c>
      <c r="L114" s="77">
        <f t="shared" si="24"/>
        <v>16.894763794425511</v>
      </c>
      <c r="M114" s="77">
        <f t="shared" si="25"/>
        <v>10.767444089929061</v>
      </c>
      <c r="N114" s="77">
        <f t="shared" si="26"/>
        <v>6.9401125980354434</v>
      </c>
      <c r="O114" s="77">
        <f t="shared" si="27"/>
        <v>3.6318265493971458</v>
      </c>
      <c r="P114" s="77">
        <f t="shared" si="28"/>
        <v>5.6243659583900518</v>
      </c>
      <c r="Q114" s="77">
        <f t="shared" si="29"/>
        <v>3.6846465899290597</v>
      </c>
      <c r="R114" s="77">
        <f t="shared" si="30"/>
        <v>2.3972674097517546</v>
      </c>
      <c r="S114" s="77">
        <f t="shared" si="31"/>
        <v>1.8001347214680674</v>
      </c>
    </row>
    <row r="115" spans="1:19" ht="14.25" x14ac:dyDescent="0.2">
      <c r="A115" s="79">
        <v>105</v>
      </c>
      <c r="B115" s="78">
        <v>438</v>
      </c>
      <c r="C115" s="77">
        <f t="shared" si="16"/>
        <v>22.034694908859333</v>
      </c>
      <c r="D115" s="77">
        <f t="shared" si="17"/>
        <v>13.296246700186604</v>
      </c>
      <c r="E115" s="77">
        <f t="shared" si="18"/>
        <v>7.3191473601492847</v>
      </c>
      <c r="F115" s="77">
        <f t="shared" si="19"/>
        <v>4.7117481143923454</v>
      </c>
      <c r="G115" s="77">
        <f t="shared" si="20"/>
        <v>3.0795484915138762</v>
      </c>
      <c r="H115" s="77">
        <f t="shared" si="21"/>
        <v>1.9452490571961727</v>
      </c>
      <c r="I115" s="77">
        <f t="shared" si="22"/>
        <v>1.5371991514765555</v>
      </c>
      <c r="J115" s="77">
        <f t="shared" si="23"/>
        <v>0.97004943431770374</v>
      </c>
      <c r="K115" s="272">
        <f>+B115*(('Step 2 - Transformer Sizing'!$R$22*0.9)+('Step 2 - Transformer Sizing'!$R$23*SIN(ACOS(0.9))))/240*100</f>
        <v>0</v>
      </c>
      <c r="L115" s="77">
        <f t="shared" si="24"/>
        <v>17.089853445631352</v>
      </c>
      <c r="M115" s="77">
        <f t="shared" si="25"/>
        <v>10.891779472029858</v>
      </c>
      <c r="N115" s="77">
        <f t="shared" si="26"/>
        <v>7.0202524663730355</v>
      </c>
      <c r="O115" s="77">
        <f t="shared" si="27"/>
        <v>3.6737645003139718</v>
      </c>
      <c r="P115" s="77">
        <f t="shared" si="28"/>
        <v>5.6893124475169579</v>
      </c>
      <c r="Q115" s="77">
        <f t="shared" si="29"/>
        <v>3.7271944720298573</v>
      </c>
      <c r="R115" s="77">
        <f t="shared" si="30"/>
        <v>2.4249494814578951</v>
      </c>
      <c r="S115" s="77">
        <f t="shared" si="31"/>
        <v>1.8209214965427563</v>
      </c>
    </row>
    <row r="116" spans="1:19" ht="14.25" x14ac:dyDescent="0.2">
      <c r="A116" s="79">
        <v>106</v>
      </c>
      <c r="B116" s="78">
        <v>442</v>
      </c>
      <c r="C116" s="77">
        <f t="shared" si="16"/>
        <v>22.235924999351202</v>
      </c>
      <c r="D116" s="77">
        <f t="shared" si="17"/>
        <v>13.417673610690592</v>
      </c>
      <c r="E116" s="77">
        <f t="shared" si="18"/>
        <v>7.3859888885524736</v>
      </c>
      <c r="F116" s="77">
        <f t="shared" si="19"/>
        <v>4.7547777775374813</v>
      </c>
      <c r="G116" s="77">
        <f t="shared" si="20"/>
        <v>3.1076722220299846</v>
      </c>
      <c r="H116" s="77">
        <f t="shared" si="21"/>
        <v>1.9630138887687405</v>
      </c>
      <c r="I116" s="77">
        <f t="shared" si="22"/>
        <v>1.5512374998918663</v>
      </c>
      <c r="J116" s="77">
        <f t="shared" si="23"/>
        <v>0.97890833326124438</v>
      </c>
      <c r="K116" s="272">
        <f>+B116*(('Step 2 - Transformer Sizing'!$R$22*0.9)+('Step 2 - Transformer Sizing'!$R$23*SIN(ACOS(0.9))))/240*100</f>
        <v>0</v>
      </c>
      <c r="L116" s="77">
        <f t="shared" si="24"/>
        <v>17.245925166596017</v>
      </c>
      <c r="M116" s="77">
        <f t="shared" si="25"/>
        <v>10.991247777710496</v>
      </c>
      <c r="N116" s="77">
        <f t="shared" si="26"/>
        <v>7.0843643610431091</v>
      </c>
      <c r="O116" s="77">
        <f t="shared" si="27"/>
        <v>3.7073148610474322</v>
      </c>
      <c r="P116" s="77">
        <f t="shared" si="28"/>
        <v>5.7412696388184825</v>
      </c>
      <c r="Q116" s="77">
        <f t="shared" si="29"/>
        <v>3.7612327777104952</v>
      </c>
      <c r="R116" s="77">
        <f t="shared" si="30"/>
        <v>2.4470951388228075</v>
      </c>
      <c r="S116" s="77">
        <f t="shared" si="31"/>
        <v>1.8375509166025077</v>
      </c>
    </row>
    <row r="117" spans="1:19" ht="14.25" x14ac:dyDescent="0.2">
      <c r="A117" s="79">
        <v>107</v>
      </c>
      <c r="B117" s="78">
        <v>446</v>
      </c>
      <c r="C117" s="77">
        <f t="shared" si="16"/>
        <v>22.437155089843063</v>
      </c>
      <c r="D117" s="77">
        <f t="shared" si="17"/>
        <v>13.53910052119458</v>
      </c>
      <c r="E117" s="77">
        <f t="shared" si="18"/>
        <v>7.4528304169556634</v>
      </c>
      <c r="F117" s="77">
        <f t="shared" si="19"/>
        <v>4.7978074406826172</v>
      </c>
      <c r="G117" s="77">
        <f t="shared" si="20"/>
        <v>3.135795952546093</v>
      </c>
      <c r="H117" s="77">
        <f t="shared" si="21"/>
        <v>1.9807787203413081</v>
      </c>
      <c r="I117" s="77">
        <f t="shared" si="22"/>
        <v>1.5652758483071774</v>
      </c>
      <c r="J117" s="77">
        <f t="shared" si="23"/>
        <v>0.98776723220478491</v>
      </c>
      <c r="K117" s="272">
        <f>+B117*(('Step 2 - Transformer Sizing'!$R$22*0.9)+('Step 2 - Transformer Sizing'!$R$23*SIN(ACOS(0.9))))/240*100</f>
        <v>0</v>
      </c>
      <c r="L117" s="77">
        <f t="shared" si="24"/>
        <v>17.401996887560689</v>
      </c>
      <c r="M117" s="77">
        <f t="shared" si="25"/>
        <v>11.090716083391134</v>
      </c>
      <c r="N117" s="77">
        <f t="shared" si="26"/>
        <v>7.1484762557131818</v>
      </c>
      <c r="O117" s="77">
        <f t="shared" si="27"/>
        <v>3.740865221780894</v>
      </c>
      <c r="P117" s="77">
        <f t="shared" si="28"/>
        <v>5.7932268301200063</v>
      </c>
      <c r="Q117" s="77">
        <f t="shared" si="29"/>
        <v>3.7952710833911323</v>
      </c>
      <c r="R117" s="77">
        <f t="shared" si="30"/>
        <v>2.4692407961877199</v>
      </c>
      <c r="S117" s="77">
        <f t="shared" si="31"/>
        <v>1.8541803366622589</v>
      </c>
    </row>
    <row r="118" spans="1:19" ht="14.25" x14ac:dyDescent="0.2">
      <c r="A118" s="79">
        <v>108</v>
      </c>
      <c r="B118" s="78">
        <v>450</v>
      </c>
      <c r="C118" s="77">
        <f t="shared" si="16"/>
        <v>22.638385180334932</v>
      </c>
      <c r="D118" s="77">
        <f t="shared" si="17"/>
        <v>13.660527431698569</v>
      </c>
      <c r="E118" s="77">
        <f t="shared" si="18"/>
        <v>7.5196719453588541</v>
      </c>
      <c r="F118" s="77">
        <f t="shared" si="19"/>
        <v>4.8408371038277522</v>
      </c>
      <c r="G118" s="77">
        <f t="shared" si="20"/>
        <v>3.1639196830622018</v>
      </c>
      <c r="H118" s="77">
        <f t="shared" si="21"/>
        <v>1.9985435519138763</v>
      </c>
      <c r="I118" s="77">
        <f t="shared" si="22"/>
        <v>1.5793141967224884</v>
      </c>
      <c r="J118" s="77">
        <f t="shared" si="23"/>
        <v>0.99662613114832577</v>
      </c>
      <c r="K118" s="272">
        <f>+B118*(('Step 2 - Transformer Sizing'!$R$22*0.9)+('Step 2 - Transformer Sizing'!$R$23*SIN(ACOS(0.9))))/240*100</f>
        <v>0</v>
      </c>
      <c r="L118" s="77">
        <f t="shared" si="24"/>
        <v>17.55806860852536</v>
      </c>
      <c r="M118" s="77">
        <f t="shared" si="25"/>
        <v>11.190184389071772</v>
      </c>
      <c r="N118" s="77">
        <f t="shared" si="26"/>
        <v>7.2125881503832545</v>
      </c>
      <c r="O118" s="77">
        <f t="shared" si="27"/>
        <v>3.7744155825143544</v>
      </c>
      <c r="P118" s="77">
        <f t="shared" si="28"/>
        <v>5.8451840214215327</v>
      </c>
      <c r="Q118" s="77">
        <f t="shared" si="29"/>
        <v>3.8293093890717707</v>
      </c>
      <c r="R118" s="77">
        <f t="shared" si="30"/>
        <v>2.4913864535526318</v>
      </c>
      <c r="S118" s="77">
        <f t="shared" si="31"/>
        <v>1.8708097567220101</v>
      </c>
    </row>
    <row r="119" spans="1:19" ht="14.25" x14ac:dyDescent="0.2">
      <c r="A119" s="79">
        <v>109</v>
      </c>
      <c r="B119" s="78">
        <v>454</v>
      </c>
      <c r="C119" s="77">
        <f t="shared" si="16"/>
        <v>22.839615270826798</v>
      </c>
      <c r="D119" s="77">
        <f t="shared" si="17"/>
        <v>13.781954342202555</v>
      </c>
      <c r="E119" s="77">
        <f t="shared" si="18"/>
        <v>7.5865134737620439</v>
      </c>
      <c r="F119" s="77">
        <f t="shared" si="19"/>
        <v>4.8838667669728881</v>
      </c>
      <c r="G119" s="77">
        <f t="shared" si="20"/>
        <v>3.1920434135783098</v>
      </c>
      <c r="H119" s="77">
        <f t="shared" si="21"/>
        <v>2.0163083834864439</v>
      </c>
      <c r="I119" s="77">
        <f t="shared" si="22"/>
        <v>1.5933525451377994</v>
      </c>
      <c r="J119" s="77">
        <f t="shared" si="23"/>
        <v>1.0054850300918663</v>
      </c>
      <c r="K119" s="272">
        <f>+B119*(('Step 2 - Transformer Sizing'!$R$22*0.9)+('Step 2 - Transformer Sizing'!$R$23*SIN(ACOS(0.9))))/240*100</f>
        <v>0</v>
      </c>
      <c r="L119" s="77">
        <f t="shared" si="24"/>
        <v>17.714140329490029</v>
      </c>
      <c r="M119" s="77">
        <f t="shared" si="25"/>
        <v>11.289652694752411</v>
      </c>
      <c r="N119" s="77">
        <f t="shared" si="26"/>
        <v>7.2767000450533272</v>
      </c>
      <c r="O119" s="77">
        <f t="shared" si="27"/>
        <v>3.8079659432478152</v>
      </c>
      <c r="P119" s="77">
        <f t="shared" si="28"/>
        <v>5.8971412127230565</v>
      </c>
      <c r="Q119" s="77">
        <f t="shared" si="29"/>
        <v>3.8633476947524086</v>
      </c>
      <c r="R119" s="77">
        <f t="shared" si="30"/>
        <v>2.5135321109175441</v>
      </c>
      <c r="S119" s="77">
        <f t="shared" si="31"/>
        <v>1.8874391767817613</v>
      </c>
    </row>
    <row r="120" spans="1:19" ht="14.25" x14ac:dyDescent="0.2">
      <c r="A120" s="79">
        <v>110</v>
      </c>
      <c r="B120" s="78">
        <v>458</v>
      </c>
      <c r="C120" s="77">
        <f t="shared" si="16"/>
        <v>23.040845361318667</v>
      </c>
      <c r="D120" s="77">
        <f t="shared" si="17"/>
        <v>13.903381252706543</v>
      </c>
      <c r="E120" s="77">
        <f t="shared" si="18"/>
        <v>7.6533550021652337</v>
      </c>
      <c r="F120" s="77">
        <f t="shared" si="19"/>
        <v>4.9268964301180231</v>
      </c>
      <c r="G120" s="77">
        <f t="shared" si="20"/>
        <v>3.2201671440944186</v>
      </c>
      <c r="H120" s="77">
        <f t="shared" si="21"/>
        <v>2.0340732150590117</v>
      </c>
      <c r="I120" s="77">
        <f t="shared" si="22"/>
        <v>1.6073908935531105</v>
      </c>
      <c r="J120" s="77">
        <f t="shared" si="23"/>
        <v>1.014343929035407</v>
      </c>
      <c r="K120" s="272">
        <f>+B120*(('Step 2 - Transformer Sizing'!$R$22*0.9)+('Step 2 - Transformer Sizing'!$R$23*SIN(ACOS(0.9))))/240*100</f>
        <v>0</v>
      </c>
      <c r="L120" s="77">
        <f t="shared" si="24"/>
        <v>17.8702120504547</v>
      </c>
      <c r="M120" s="77">
        <f t="shared" si="25"/>
        <v>11.389121000433049</v>
      </c>
      <c r="N120" s="77">
        <f t="shared" si="26"/>
        <v>7.3408119397234017</v>
      </c>
      <c r="O120" s="77">
        <f t="shared" si="27"/>
        <v>3.8415163039812765</v>
      </c>
      <c r="P120" s="77">
        <f t="shared" si="28"/>
        <v>5.9490984040245811</v>
      </c>
      <c r="Q120" s="77">
        <f t="shared" si="29"/>
        <v>3.8973860004330465</v>
      </c>
      <c r="R120" s="77">
        <f t="shared" si="30"/>
        <v>2.5356777682824565</v>
      </c>
      <c r="S120" s="77">
        <f t="shared" si="31"/>
        <v>1.9040685968415123</v>
      </c>
    </row>
    <row r="121" spans="1:19" ht="14.25" x14ac:dyDescent="0.2">
      <c r="A121" s="79">
        <v>111</v>
      </c>
      <c r="B121" s="78">
        <v>463</v>
      </c>
      <c r="C121" s="77">
        <f t="shared" si="16"/>
        <v>23.292382974433494</v>
      </c>
      <c r="D121" s="77">
        <f t="shared" si="17"/>
        <v>14.055164890836524</v>
      </c>
      <c r="E121" s="77">
        <f t="shared" si="18"/>
        <v>7.7369069126692196</v>
      </c>
      <c r="F121" s="77">
        <f t="shared" si="19"/>
        <v>4.9806835090494435</v>
      </c>
      <c r="G121" s="77">
        <f t="shared" si="20"/>
        <v>3.2553218072395542</v>
      </c>
      <c r="H121" s="77">
        <f t="shared" si="21"/>
        <v>2.0562792545247217</v>
      </c>
      <c r="I121" s="77">
        <f t="shared" si="22"/>
        <v>1.6249388290722491</v>
      </c>
      <c r="J121" s="77">
        <f t="shared" si="23"/>
        <v>1.025417552714833</v>
      </c>
      <c r="K121" s="272">
        <f>+B121*(('Step 2 - Transformer Sizing'!$R$22*0.9)+('Step 2 - Transformer Sizing'!$R$23*SIN(ACOS(0.9))))/240*100</f>
        <v>0</v>
      </c>
      <c r="L121" s="77">
        <f t="shared" si="24"/>
        <v>18.065301701660538</v>
      </c>
      <c r="M121" s="77">
        <f t="shared" si="25"/>
        <v>11.513456382533846</v>
      </c>
      <c r="N121" s="77">
        <f t="shared" si="26"/>
        <v>7.4209518080609937</v>
      </c>
      <c r="O121" s="77">
        <f t="shared" si="27"/>
        <v>3.8834542548981026</v>
      </c>
      <c r="P121" s="77">
        <f t="shared" si="28"/>
        <v>6.0140448931514872</v>
      </c>
      <c r="Q121" s="77">
        <f t="shared" si="29"/>
        <v>3.9399338825338441</v>
      </c>
      <c r="R121" s="77">
        <f t="shared" si="30"/>
        <v>2.5633598399885971</v>
      </c>
      <c r="S121" s="77">
        <f t="shared" si="31"/>
        <v>1.9248553719162014</v>
      </c>
    </row>
    <row r="122" spans="1:19" ht="14.25" x14ac:dyDescent="0.2">
      <c r="A122" s="79">
        <v>112</v>
      </c>
      <c r="B122" s="78">
        <v>467</v>
      </c>
      <c r="C122" s="77">
        <f t="shared" si="16"/>
        <v>23.493613064925363</v>
      </c>
      <c r="D122" s="77">
        <f t="shared" si="17"/>
        <v>14.176591801340512</v>
      </c>
      <c r="E122" s="77">
        <f t="shared" si="18"/>
        <v>7.8037484410724094</v>
      </c>
      <c r="F122" s="77">
        <f t="shared" si="19"/>
        <v>5.0237131721945785</v>
      </c>
      <c r="G122" s="77">
        <f t="shared" si="20"/>
        <v>3.2834455377556622</v>
      </c>
      <c r="H122" s="77">
        <f t="shared" si="21"/>
        <v>2.0740440860972891</v>
      </c>
      <c r="I122" s="77">
        <f t="shared" si="22"/>
        <v>1.6389771774875601</v>
      </c>
      <c r="J122" s="77">
        <f t="shared" si="23"/>
        <v>1.0342764516583736</v>
      </c>
      <c r="K122" s="272">
        <f>+B122*(('Step 2 - Transformer Sizing'!$R$22*0.9)+('Step 2 - Transformer Sizing'!$R$23*SIN(ACOS(0.9))))/240*100</f>
        <v>0</v>
      </c>
      <c r="L122" s="77">
        <f t="shared" si="24"/>
        <v>18.221373422625209</v>
      </c>
      <c r="M122" s="77">
        <f t="shared" si="25"/>
        <v>11.612924688214484</v>
      </c>
      <c r="N122" s="77">
        <f t="shared" si="26"/>
        <v>7.4850637027310682</v>
      </c>
      <c r="O122" s="77">
        <f t="shared" si="27"/>
        <v>3.9170046156315634</v>
      </c>
      <c r="P122" s="77">
        <f t="shared" si="28"/>
        <v>6.0660020844530118</v>
      </c>
      <c r="Q122" s="77">
        <f t="shared" si="29"/>
        <v>3.9739721882144821</v>
      </c>
      <c r="R122" s="77">
        <f t="shared" si="30"/>
        <v>2.585505497353509</v>
      </c>
      <c r="S122" s="77">
        <f t="shared" si="31"/>
        <v>1.9414847919759524</v>
      </c>
    </row>
    <row r="123" spans="1:19" ht="14.25" x14ac:dyDescent="0.2">
      <c r="A123" s="79">
        <v>113</v>
      </c>
      <c r="B123" s="78">
        <v>471</v>
      </c>
      <c r="C123" s="77">
        <f t="shared" si="16"/>
        <v>23.694843155417228</v>
      </c>
      <c r="D123" s="77">
        <f t="shared" si="17"/>
        <v>14.298018711844499</v>
      </c>
      <c r="E123" s="77">
        <f t="shared" si="18"/>
        <v>7.8705899694756001</v>
      </c>
      <c r="F123" s="77">
        <f t="shared" si="19"/>
        <v>5.0667428353397135</v>
      </c>
      <c r="G123" s="77">
        <f t="shared" si="20"/>
        <v>3.311569268271771</v>
      </c>
      <c r="H123" s="77">
        <f t="shared" si="21"/>
        <v>2.0918089176698569</v>
      </c>
      <c r="I123" s="77">
        <f t="shared" si="22"/>
        <v>1.6530155259028714</v>
      </c>
      <c r="J123" s="77">
        <f t="shared" si="23"/>
        <v>1.0431353506019143</v>
      </c>
      <c r="K123" s="272">
        <f>+B123*(('Step 2 - Transformer Sizing'!$R$22*0.9)+('Step 2 - Transformer Sizing'!$R$23*SIN(ACOS(0.9))))/240*100</f>
        <v>0</v>
      </c>
      <c r="L123" s="77">
        <f t="shared" si="24"/>
        <v>18.377445143589881</v>
      </c>
      <c r="M123" s="77">
        <f t="shared" si="25"/>
        <v>11.712392993895122</v>
      </c>
      <c r="N123" s="77">
        <f t="shared" si="26"/>
        <v>7.549175597401141</v>
      </c>
      <c r="O123" s="77">
        <f t="shared" si="27"/>
        <v>3.9505549763650247</v>
      </c>
      <c r="P123" s="77">
        <f t="shared" si="28"/>
        <v>6.1179592757545374</v>
      </c>
      <c r="Q123" s="77">
        <f t="shared" si="29"/>
        <v>4.00801049389512</v>
      </c>
      <c r="R123" s="77">
        <f t="shared" si="30"/>
        <v>2.6076511547184213</v>
      </c>
      <c r="S123" s="77">
        <f t="shared" si="31"/>
        <v>1.958114212035704</v>
      </c>
    </row>
    <row r="124" spans="1:19" ht="14.25" x14ac:dyDescent="0.2">
      <c r="A124" s="79">
        <v>114</v>
      </c>
      <c r="B124" s="78">
        <v>475</v>
      </c>
      <c r="C124" s="77">
        <f t="shared" si="16"/>
        <v>23.896073245909093</v>
      </c>
      <c r="D124" s="77">
        <f t="shared" si="17"/>
        <v>14.419445622348487</v>
      </c>
      <c r="E124" s="77">
        <f t="shared" si="18"/>
        <v>7.9374314978787899</v>
      </c>
      <c r="F124" s="77">
        <f t="shared" si="19"/>
        <v>5.1097724984848503</v>
      </c>
      <c r="G124" s="77">
        <f t="shared" si="20"/>
        <v>3.339692998787879</v>
      </c>
      <c r="H124" s="77">
        <f t="shared" si="21"/>
        <v>2.1095737492424251</v>
      </c>
      <c r="I124" s="77">
        <f t="shared" si="22"/>
        <v>1.667053874318182</v>
      </c>
      <c r="J124" s="77">
        <f t="shared" si="23"/>
        <v>1.0519942495454551</v>
      </c>
      <c r="K124" s="272">
        <f>+B124*(('Step 2 - Transformer Sizing'!$R$22*0.9)+('Step 2 - Transformer Sizing'!$R$23*SIN(ACOS(0.9))))/240*100</f>
        <v>0</v>
      </c>
      <c r="L124" s="77">
        <f t="shared" si="24"/>
        <v>18.533516864554546</v>
      </c>
      <c r="M124" s="77">
        <f t="shared" si="25"/>
        <v>11.81186129957576</v>
      </c>
      <c r="N124" s="77">
        <f t="shared" si="26"/>
        <v>7.6132874920712137</v>
      </c>
      <c r="O124" s="77">
        <f t="shared" si="27"/>
        <v>3.9841053370984856</v>
      </c>
      <c r="P124" s="77">
        <f t="shared" si="28"/>
        <v>6.1699164670560611</v>
      </c>
      <c r="Q124" s="77">
        <f t="shared" si="29"/>
        <v>4.0420487995757579</v>
      </c>
      <c r="R124" s="77">
        <f t="shared" si="30"/>
        <v>2.6297968120833337</v>
      </c>
      <c r="S124" s="77">
        <f t="shared" si="31"/>
        <v>1.9747436320954552</v>
      </c>
    </row>
    <row r="125" spans="1:19" ht="14.25" x14ac:dyDescent="0.2">
      <c r="A125" s="79">
        <v>115</v>
      </c>
      <c r="B125" s="78">
        <v>479</v>
      </c>
      <c r="C125" s="77">
        <f t="shared" si="16"/>
        <v>24.097303336400959</v>
      </c>
      <c r="D125" s="77">
        <f t="shared" si="17"/>
        <v>14.540872532852472</v>
      </c>
      <c r="E125" s="77">
        <f t="shared" si="18"/>
        <v>8.0042730262819788</v>
      </c>
      <c r="F125" s="77">
        <f t="shared" si="19"/>
        <v>5.1528021616299853</v>
      </c>
      <c r="G125" s="77">
        <f t="shared" si="20"/>
        <v>3.3678167293039878</v>
      </c>
      <c r="H125" s="77">
        <f t="shared" si="21"/>
        <v>2.1273385808149925</v>
      </c>
      <c r="I125" s="77">
        <f t="shared" si="22"/>
        <v>1.681092222733493</v>
      </c>
      <c r="J125" s="77">
        <f t="shared" si="23"/>
        <v>1.0608531484889958</v>
      </c>
      <c r="K125" s="272">
        <f>+B125*(('Step 2 - Transformer Sizing'!$R$22*0.9)+('Step 2 - Transformer Sizing'!$R$23*SIN(ACOS(0.9))))/240*100</f>
        <v>0</v>
      </c>
      <c r="L125" s="77">
        <f t="shared" si="24"/>
        <v>18.689588585519218</v>
      </c>
      <c r="M125" s="77">
        <f t="shared" si="25"/>
        <v>11.911329605256398</v>
      </c>
      <c r="N125" s="77">
        <f t="shared" si="26"/>
        <v>7.6773993867412864</v>
      </c>
      <c r="O125" s="77">
        <f t="shared" si="27"/>
        <v>4.0176556978319464</v>
      </c>
      <c r="P125" s="77">
        <f t="shared" si="28"/>
        <v>6.2218736583575867</v>
      </c>
      <c r="Q125" s="77">
        <f t="shared" si="29"/>
        <v>4.0760871052563967</v>
      </c>
      <c r="R125" s="77">
        <f t="shared" si="30"/>
        <v>2.6519424694482461</v>
      </c>
      <c r="S125" s="77">
        <f t="shared" si="31"/>
        <v>1.991373052155206</v>
      </c>
    </row>
    <row r="126" spans="1:19" ht="14.25" x14ac:dyDescent="0.2">
      <c r="A126" s="79">
        <v>116</v>
      </c>
      <c r="B126" s="78">
        <v>483</v>
      </c>
      <c r="C126" s="77">
        <f t="shared" si="16"/>
        <v>24.298533426892828</v>
      </c>
      <c r="D126" s="77">
        <f t="shared" si="17"/>
        <v>14.66229944335646</v>
      </c>
      <c r="E126" s="77">
        <f t="shared" si="18"/>
        <v>8.0711145546851686</v>
      </c>
      <c r="F126" s="77">
        <f t="shared" si="19"/>
        <v>5.1958318247751212</v>
      </c>
      <c r="G126" s="77">
        <f t="shared" si="20"/>
        <v>3.3959404598200966</v>
      </c>
      <c r="H126" s="77">
        <f t="shared" si="21"/>
        <v>2.1451034123875603</v>
      </c>
      <c r="I126" s="77">
        <f t="shared" si="22"/>
        <v>1.6951305711488043</v>
      </c>
      <c r="J126" s="77">
        <f t="shared" si="23"/>
        <v>1.0697120474325363</v>
      </c>
      <c r="K126" s="272">
        <f>+B126*(('Step 2 - Transformer Sizing'!$R$22*0.9)+('Step 2 - Transformer Sizing'!$R$23*SIN(ACOS(0.9))))/240*100</f>
        <v>0</v>
      </c>
      <c r="L126" s="77">
        <f t="shared" si="24"/>
        <v>18.845660306483889</v>
      </c>
      <c r="M126" s="77">
        <f t="shared" si="25"/>
        <v>12.010797910937036</v>
      </c>
      <c r="N126" s="77">
        <f t="shared" si="26"/>
        <v>7.74151128141136</v>
      </c>
      <c r="O126" s="77">
        <f t="shared" si="27"/>
        <v>4.0512060585654073</v>
      </c>
      <c r="P126" s="77">
        <f t="shared" si="28"/>
        <v>6.2738308496591104</v>
      </c>
      <c r="Q126" s="77">
        <f t="shared" si="29"/>
        <v>4.1101254109370347</v>
      </c>
      <c r="R126" s="77">
        <f t="shared" si="30"/>
        <v>2.6740881268131584</v>
      </c>
      <c r="S126" s="77">
        <f t="shared" si="31"/>
        <v>2.0080024722149576</v>
      </c>
    </row>
    <row r="127" spans="1:19" ht="14.25" x14ac:dyDescent="0.2">
      <c r="A127" s="79">
        <v>117</v>
      </c>
      <c r="B127" s="78">
        <v>488</v>
      </c>
      <c r="C127" s="77">
        <f t="shared" si="16"/>
        <v>24.550071040007655</v>
      </c>
      <c r="D127" s="77">
        <f t="shared" si="17"/>
        <v>14.814083081486448</v>
      </c>
      <c r="E127" s="77">
        <f t="shared" si="18"/>
        <v>8.1546664651891572</v>
      </c>
      <c r="F127" s="77">
        <f t="shared" si="19"/>
        <v>5.2496189037065406</v>
      </c>
      <c r="G127" s="77">
        <f t="shared" si="20"/>
        <v>3.4310951229652318</v>
      </c>
      <c r="H127" s="77">
        <f t="shared" si="21"/>
        <v>2.1673094518532703</v>
      </c>
      <c r="I127" s="77">
        <f t="shared" si="22"/>
        <v>1.7126785066679429</v>
      </c>
      <c r="J127" s="77">
        <f t="shared" si="23"/>
        <v>1.0807856711119621</v>
      </c>
      <c r="K127" s="272">
        <f>+B127*(('Step 2 - Transformer Sizing'!$R$22*0.9)+('Step 2 - Transformer Sizing'!$R$23*SIN(ACOS(0.9))))/240*100</f>
        <v>0</v>
      </c>
      <c r="L127" s="77">
        <f t="shared" si="24"/>
        <v>19.040749957689723</v>
      </c>
      <c r="M127" s="77">
        <f t="shared" si="25"/>
        <v>12.135133293037834</v>
      </c>
      <c r="N127" s="77">
        <f t="shared" si="26"/>
        <v>7.821651149748952</v>
      </c>
      <c r="O127" s="77">
        <f t="shared" si="27"/>
        <v>4.0931440094822333</v>
      </c>
      <c r="P127" s="77">
        <f t="shared" si="28"/>
        <v>6.3387773387860165</v>
      </c>
      <c r="Q127" s="77">
        <f t="shared" si="29"/>
        <v>4.1526732930378314</v>
      </c>
      <c r="R127" s="77">
        <f t="shared" si="30"/>
        <v>2.7017701985192986</v>
      </c>
      <c r="S127" s="77">
        <f t="shared" si="31"/>
        <v>2.0287892472896463</v>
      </c>
    </row>
    <row r="128" spans="1:19" ht="14.25" x14ac:dyDescent="0.2">
      <c r="A128" s="79">
        <v>118</v>
      </c>
      <c r="B128" s="78">
        <v>492</v>
      </c>
      <c r="C128" s="77">
        <f t="shared" si="16"/>
        <v>24.751301130499527</v>
      </c>
      <c r="D128" s="77">
        <f t="shared" si="17"/>
        <v>14.935509991990434</v>
      </c>
      <c r="E128" s="77">
        <f t="shared" si="18"/>
        <v>8.2215079935923452</v>
      </c>
      <c r="F128" s="77">
        <f t="shared" si="19"/>
        <v>5.2926485668516756</v>
      </c>
      <c r="G128" s="77">
        <f t="shared" si="20"/>
        <v>3.4592188534813406</v>
      </c>
      <c r="H128" s="77">
        <f t="shared" si="21"/>
        <v>2.1850742834258376</v>
      </c>
      <c r="I128" s="77">
        <f t="shared" si="22"/>
        <v>1.7267168550832539</v>
      </c>
      <c r="J128" s="77">
        <f t="shared" si="23"/>
        <v>1.0896445700555029</v>
      </c>
      <c r="K128" s="272">
        <f>+B128*(('Step 2 - Transformer Sizing'!$R$22*0.9)+('Step 2 - Transformer Sizing'!$R$23*SIN(ACOS(0.9))))/240*100</f>
        <v>0</v>
      </c>
      <c r="L128" s="77">
        <f t="shared" si="24"/>
        <v>19.196821678654395</v>
      </c>
      <c r="M128" s="77">
        <f t="shared" si="25"/>
        <v>12.234601598718472</v>
      </c>
      <c r="N128" s="77">
        <f t="shared" si="26"/>
        <v>7.8857630444190265</v>
      </c>
      <c r="O128" s="77">
        <f t="shared" si="27"/>
        <v>4.1266943702156933</v>
      </c>
      <c r="P128" s="77">
        <f t="shared" si="28"/>
        <v>6.3907345300875411</v>
      </c>
      <c r="Q128" s="77">
        <f t="shared" si="29"/>
        <v>4.1867115987184702</v>
      </c>
      <c r="R128" s="77">
        <f t="shared" si="30"/>
        <v>2.7239158558842109</v>
      </c>
      <c r="S128" s="77">
        <f t="shared" si="31"/>
        <v>2.0454186673493977</v>
      </c>
    </row>
    <row r="129" spans="1:19" ht="14.25" x14ac:dyDescent="0.2">
      <c r="A129" s="79">
        <v>119</v>
      </c>
      <c r="B129" s="78">
        <v>496</v>
      </c>
      <c r="C129" s="77">
        <f t="shared" si="16"/>
        <v>24.952531220991389</v>
      </c>
      <c r="D129" s="77">
        <f t="shared" si="17"/>
        <v>15.056936902494423</v>
      </c>
      <c r="E129" s="77">
        <f t="shared" si="18"/>
        <v>8.2883495219955368</v>
      </c>
      <c r="F129" s="77">
        <f t="shared" si="19"/>
        <v>5.3356782299968115</v>
      </c>
      <c r="G129" s="77">
        <f t="shared" si="20"/>
        <v>3.4873425839974486</v>
      </c>
      <c r="H129" s="77">
        <f t="shared" si="21"/>
        <v>2.2028391149984059</v>
      </c>
      <c r="I129" s="77">
        <f t="shared" si="22"/>
        <v>1.7407552034985654</v>
      </c>
      <c r="J129" s="77">
        <f t="shared" si="23"/>
        <v>1.0985034689990434</v>
      </c>
      <c r="K129" s="272">
        <f>+B129*(('Step 2 - Transformer Sizing'!$R$22*0.9)+('Step 2 - Transformer Sizing'!$R$23*SIN(ACOS(0.9))))/240*100</f>
        <v>0</v>
      </c>
      <c r="L129" s="77">
        <f t="shared" si="24"/>
        <v>19.352893399619063</v>
      </c>
      <c r="M129" s="77">
        <f t="shared" si="25"/>
        <v>12.33406990439911</v>
      </c>
      <c r="N129" s="77">
        <f t="shared" si="26"/>
        <v>7.9498749390890993</v>
      </c>
      <c r="O129" s="77">
        <f t="shared" si="27"/>
        <v>4.1602447309491559</v>
      </c>
      <c r="P129" s="77">
        <f t="shared" si="28"/>
        <v>6.4426917213890667</v>
      </c>
      <c r="Q129" s="77">
        <f t="shared" si="29"/>
        <v>4.2207499043991081</v>
      </c>
      <c r="R129" s="77">
        <f t="shared" si="30"/>
        <v>2.7460615132491228</v>
      </c>
      <c r="S129" s="77">
        <f t="shared" si="31"/>
        <v>2.0620480874091487</v>
      </c>
    </row>
    <row r="130" spans="1:19" ht="14.25" x14ac:dyDescent="0.2">
      <c r="A130" s="79">
        <v>120</v>
      </c>
      <c r="B130" s="78">
        <v>500</v>
      </c>
      <c r="C130" s="77">
        <f t="shared" si="16"/>
        <v>25.153761311483258</v>
      </c>
      <c r="D130" s="77">
        <f t="shared" si="17"/>
        <v>15.178363812998407</v>
      </c>
      <c r="E130" s="77">
        <f t="shared" si="18"/>
        <v>8.3551910503987266</v>
      </c>
      <c r="F130" s="77">
        <f t="shared" si="19"/>
        <v>5.3787078931419474</v>
      </c>
      <c r="G130" s="77">
        <f t="shared" si="20"/>
        <v>3.5154663145135574</v>
      </c>
      <c r="H130" s="77">
        <f t="shared" si="21"/>
        <v>2.2206039465709737</v>
      </c>
      <c r="I130" s="77">
        <f t="shared" si="22"/>
        <v>1.754793551913876</v>
      </c>
      <c r="J130" s="77">
        <f t="shared" si="23"/>
        <v>1.1073623679425841</v>
      </c>
      <c r="K130" s="272">
        <f>+B130*(('Step 2 - Transformer Sizing'!$R$22*0.9)+('Step 2 - Transformer Sizing'!$R$23*SIN(ACOS(0.9))))/240*100</f>
        <v>0</v>
      </c>
      <c r="L130" s="77">
        <f t="shared" si="24"/>
        <v>19.508965120583735</v>
      </c>
      <c r="M130" s="77">
        <f t="shared" si="25"/>
        <v>12.433538210079748</v>
      </c>
      <c r="N130" s="77">
        <f t="shared" si="26"/>
        <v>8.0139868337591729</v>
      </c>
      <c r="O130" s="77">
        <f t="shared" si="27"/>
        <v>4.1937950916826168</v>
      </c>
      <c r="P130" s="77">
        <f t="shared" si="28"/>
        <v>6.4946489126905913</v>
      </c>
      <c r="Q130" s="77">
        <f t="shared" si="29"/>
        <v>4.2547882100797452</v>
      </c>
      <c r="R130" s="77">
        <f t="shared" si="30"/>
        <v>2.7682071706140352</v>
      </c>
      <c r="S130" s="77">
        <f t="shared" si="31"/>
        <v>2.0786775074689001</v>
      </c>
    </row>
    <row r="131" spans="1:19" ht="14.25" x14ac:dyDescent="0.2">
      <c r="A131" s="79">
        <v>121</v>
      </c>
      <c r="B131" s="78">
        <v>504</v>
      </c>
      <c r="C131" s="77">
        <f t="shared" si="16"/>
        <v>25.354991401975123</v>
      </c>
      <c r="D131" s="77">
        <f t="shared" si="17"/>
        <v>15.299790723502396</v>
      </c>
      <c r="E131" s="77">
        <f t="shared" si="18"/>
        <v>8.4220325788019164</v>
      </c>
      <c r="F131" s="77">
        <f t="shared" si="19"/>
        <v>5.4217375562870833</v>
      </c>
      <c r="G131" s="77">
        <f t="shared" si="20"/>
        <v>3.5435900450296653</v>
      </c>
      <c r="H131" s="77">
        <f t="shared" si="21"/>
        <v>2.2383687781435411</v>
      </c>
      <c r="I131" s="77">
        <f t="shared" si="22"/>
        <v>1.768831900329187</v>
      </c>
      <c r="J131" s="77">
        <f t="shared" si="23"/>
        <v>1.1162212668861249</v>
      </c>
      <c r="K131" s="272">
        <f>+B131*(('Step 2 - Transformer Sizing'!$R$22*0.9)+('Step 2 - Transformer Sizing'!$R$23*SIN(ACOS(0.9))))/240*100</f>
        <v>0</v>
      </c>
      <c r="L131" s="77">
        <f t="shared" si="24"/>
        <v>19.665036841548403</v>
      </c>
      <c r="M131" s="77">
        <f t="shared" si="25"/>
        <v>12.533006515760384</v>
      </c>
      <c r="N131" s="77">
        <f t="shared" si="26"/>
        <v>8.0780987284292447</v>
      </c>
      <c r="O131" s="77">
        <f t="shared" si="27"/>
        <v>4.2273454524160776</v>
      </c>
      <c r="P131" s="77">
        <f t="shared" si="28"/>
        <v>6.546606103992116</v>
      </c>
      <c r="Q131" s="77">
        <f t="shared" si="29"/>
        <v>4.2888265157603831</v>
      </c>
      <c r="R131" s="77">
        <f t="shared" si="30"/>
        <v>2.790352827978948</v>
      </c>
      <c r="S131" s="77">
        <f t="shared" si="31"/>
        <v>2.0953069275286511</v>
      </c>
    </row>
    <row r="132" spans="1:19" ht="14.25" x14ac:dyDescent="0.2">
      <c r="A132" s="79">
        <v>122</v>
      </c>
      <c r="B132" s="78">
        <v>508</v>
      </c>
      <c r="C132" s="77">
        <f t="shared" si="16"/>
        <v>25.556221492466989</v>
      </c>
      <c r="D132" s="77">
        <f t="shared" si="17"/>
        <v>15.421217634006382</v>
      </c>
      <c r="E132" s="77">
        <f t="shared" si="18"/>
        <v>8.4888741072051062</v>
      </c>
      <c r="F132" s="77">
        <f t="shared" si="19"/>
        <v>5.4647672194322183</v>
      </c>
      <c r="G132" s="77">
        <f t="shared" si="20"/>
        <v>3.5717137755457742</v>
      </c>
      <c r="H132" s="77">
        <f t="shared" si="21"/>
        <v>2.2561336097161089</v>
      </c>
      <c r="I132" s="77">
        <f t="shared" si="22"/>
        <v>1.7828702487444983</v>
      </c>
      <c r="J132" s="77">
        <f t="shared" si="23"/>
        <v>1.1250801658296654</v>
      </c>
      <c r="K132" s="272">
        <f>+B132*(('Step 2 - Transformer Sizing'!$R$22*0.9)+('Step 2 - Transformer Sizing'!$R$23*SIN(ACOS(0.9))))/240*100</f>
        <v>0</v>
      </c>
      <c r="L132" s="77">
        <f t="shared" si="24"/>
        <v>19.821108562513075</v>
      </c>
      <c r="M132" s="77">
        <f t="shared" si="25"/>
        <v>12.632474821441022</v>
      </c>
      <c r="N132" s="77">
        <f t="shared" si="26"/>
        <v>8.1422106230993183</v>
      </c>
      <c r="O132" s="77">
        <f t="shared" si="27"/>
        <v>4.2608958131495376</v>
      </c>
      <c r="P132" s="77">
        <f t="shared" si="28"/>
        <v>6.5985632952936415</v>
      </c>
      <c r="Q132" s="77">
        <f t="shared" si="29"/>
        <v>4.322864821441021</v>
      </c>
      <c r="R132" s="77">
        <f t="shared" si="30"/>
        <v>2.8124984853438604</v>
      </c>
      <c r="S132" s="77">
        <f t="shared" si="31"/>
        <v>2.1119363475884021</v>
      </c>
    </row>
    <row r="133" spans="1:19" ht="14.25" x14ac:dyDescent="0.2">
      <c r="A133" s="79">
        <v>123</v>
      </c>
      <c r="B133" s="78">
        <v>513</v>
      </c>
      <c r="C133" s="77">
        <f t="shared" si="16"/>
        <v>25.807759105581823</v>
      </c>
      <c r="D133" s="77">
        <f t="shared" si="17"/>
        <v>15.573001272136366</v>
      </c>
      <c r="E133" s="77">
        <f t="shared" si="18"/>
        <v>8.572426017709093</v>
      </c>
      <c r="F133" s="77">
        <f t="shared" si="19"/>
        <v>5.5185542983636378</v>
      </c>
      <c r="G133" s="77">
        <f t="shared" si="20"/>
        <v>3.6068684386909098</v>
      </c>
      <c r="H133" s="77">
        <f t="shared" si="21"/>
        <v>2.2783396491818189</v>
      </c>
      <c r="I133" s="77">
        <f t="shared" si="22"/>
        <v>1.8004181842636369</v>
      </c>
      <c r="J133" s="77">
        <f t="shared" si="23"/>
        <v>1.1361537895090914</v>
      </c>
      <c r="K133" s="272">
        <f>+B133*(('Step 2 - Transformer Sizing'!$R$22*0.9)+('Step 2 - Transformer Sizing'!$R$23*SIN(ACOS(0.9))))/240*100</f>
        <v>0</v>
      </c>
      <c r="L133" s="77">
        <f t="shared" si="24"/>
        <v>20.016198213718912</v>
      </c>
      <c r="M133" s="77">
        <f t="shared" si="25"/>
        <v>12.756810203541821</v>
      </c>
      <c r="N133" s="77">
        <f t="shared" si="26"/>
        <v>8.2223504914369112</v>
      </c>
      <c r="O133" s="77">
        <f t="shared" si="27"/>
        <v>4.3028337640663636</v>
      </c>
      <c r="P133" s="77">
        <f t="shared" si="28"/>
        <v>6.6635097844205458</v>
      </c>
      <c r="Q133" s="77">
        <f t="shared" si="29"/>
        <v>4.3654127035418187</v>
      </c>
      <c r="R133" s="77">
        <f t="shared" si="30"/>
        <v>2.8401805570500005</v>
      </c>
      <c r="S133" s="77">
        <f t="shared" si="31"/>
        <v>2.1327231226630916</v>
      </c>
    </row>
    <row r="134" spans="1:19" ht="14.25" x14ac:dyDescent="0.2">
      <c r="A134" s="79">
        <v>124</v>
      </c>
      <c r="B134" s="78">
        <v>517</v>
      </c>
      <c r="C134" s="77">
        <f t="shared" si="16"/>
        <v>26.008989196073689</v>
      </c>
      <c r="D134" s="77">
        <f t="shared" si="17"/>
        <v>15.694428182640355</v>
      </c>
      <c r="E134" s="77">
        <f t="shared" si="18"/>
        <v>8.6392675461122828</v>
      </c>
      <c r="F134" s="77">
        <f t="shared" si="19"/>
        <v>5.5615839615087728</v>
      </c>
      <c r="G134" s="77">
        <f t="shared" si="20"/>
        <v>3.6349921692070177</v>
      </c>
      <c r="H134" s="77">
        <f t="shared" si="21"/>
        <v>2.2961044807543867</v>
      </c>
      <c r="I134" s="77">
        <f t="shared" si="22"/>
        <v>1.8144565326789479</v>
      </c>
      <c r="J134" s="77">
        <f t="shared" si="23"/>
        <v>1.1450126884526319</v>
      </c>
      <c r="K134" s="272">
        <f>+B134*(('Step 2 - Transformer Sizing'!$R$22*0.9)+('Step 2 - Transformer Sizing'!$R$23*SIN(ACOS(0.9))))/240*100</f>
        <v>0</v>
      </c>
      <c r="L134" s="77">
        <f t="shared" si="24"/>
        <v>20.17226993468358</v>
      </c>
      <c r="M134" s="77">
        <f t="shared" si="25"/>
        <v>12.856278509222458</v>
      </c>
      <c r="N134" s="77">
        <f t="shared" si="26"/>
        <v>8.286462386106983</v>
      </c>
      <c r="O134" s="77">
        <f t="shared" si="27"/>
        <v>4.3363841247998254</v>
      </c>
      <c r="P134" s="77">
        <f t="shared" si="28"/>
        <v>6.7154669757220713</v>
      </c>
      <c r="Q134" s="77">
        <f t="shared" si="29"/>
        <v>4.3994510092224566</v>
      </c>
      <c r="R134" s="77">
        <f t="shared" si="30"/>
        <v>2.8623262144149129</v>
      </c>
      <c r="S134" s="77">
        <f t="shared" si="31"/>
        <v>2.1493525427228426</v>
      </c>
    </row>
    <row r="135" spans="1:19" ht="14.25" x14ac:dyDescent="0.2">
      <c r="A135" s="79">
        <v>125</v>
      </c>
      <c r="B135" s="78">
        <v>521</v>
      </c>
      <c r="C135" s="77">
        <f t="shared" si="16"/>
        <v>26.210219286565557</v>
      </c>
      <c r="D135" s="77">
        <f t="shared" si="17"/>
        <v>15.815855093144341</v>
      </c>
      <c r="E135" s="77">
        <f t="shared" si="18"/>
        <v>8.7061090745154743</v>
      </c>
      <c r="F135" s="77">
        <f t="shared" si="19"/>
        <v>5.6046136246539096</v>
      </c>
      <c r="G135" s="77">
        <f t="shared" si="20"/>
        <v>3.6631158997231266</v>
      </c>
      <c r="H135" s="77">
        <f t="shared" si="21"/>
        <v>2.313869312326954</v>
      </c>
      <c r="I135" s="77">
        <f t="shared" si="22"/>
        <v>1.828494881094259</v>
      </c>
      <c r="J135" s="77">
        <f t="shared" si="23"/>
        <v>1.1538715873961725</v>
      </c>
      <c r="K135" s="272">
        <f>+B135*(('Step 2 - Transformer Sizing'!$R$22*0.9)+('Step 2 - Transformer Sizing'!$R$23*SIN(ACOS(0.9))))/240*100</f>
        <v>0</v>
      </c>
      <c r="L135" s="77">
        <f t="shared" si="24"/>
        <v>20.328341655648252</v>
      </c>
      <c r="M135" s="77">
        <f t="shared" si="25"/>
        <v>12.955746814903096</v>
      </c>
      <c r="N135" s="77">
        <f t="shared" si="26"/>
        <v>8.3505742807770584</v>
      </c>
      <c r="O135" s="77">
        <f t="shared" si="27"/>
        <v>4.3699344855332862</v>
      </c>
      <c r="P135" s="77">
        <f t="shared" si="28"/>
        <v>6.7674241670235959</v>
      </c>
      <c r="Q135" s="77">
        <f t="shared" si="29"/>
        <v>4.4334893149030945</v>
      </c>
      <c r="R135" s="77">
        <f t="shared" si="30"/>
        <v>2.8844718717798248</v>
      </c>
      <c r="S135" s="77">
        <f t="shared" si="31"/>
        <v>2.1659819627825936</v>
      </c>
    </row>
    <row r="136" spans="1:19" ht="14.25" x14ac:dyDescent="0.2">
      <c r="A136" s="79">
        <v>126</v>
      </c>
      <c r="B136" s="78">
        <v>525</v>
      </c>
      <c r="C136" s="77">
        <f t="shared" si="16"/>
        <v>26.411449377057423</v>
      </c>
      <c r="D136" s="77">
        <f t="shared" si="17"/>
        <v>15.937282003648329</v>
      </c>
      <c r="E136" s="77">
        <f t="shared" si="18"/>
        <v>8.7729506029186641</v>
      </c>
      <c r="F136" s="77">
        <f t="shared" si="19"/>
        <v>5.6476432877990446</v>
      </c>
      <c r="G136" s="77">
        <f t="shared" si="20"/>
        <v>3.6912396302392354</v>
      </c>
      <c r="H136" s="77">
        <f t="shared" si="21"/>
        <v>2.3316341438995223</v>
      </c>
      <c r="I136" s="77">
        <f t="shared" si="22"/>
        <v>1.8425332295095698</v>
      </c>
      <c r="J136" s="77">
        <f t="shared" si="23"/>
        <v>1.1627304863397132</v>
      </c>
      <c r="K136" s="272">
        <f>+B136*(('Step 2 - Transformer Sizing'!$R$22*0.9)+('Step 2 - Transformer Sizing'!$R$23*SIN(ACOS(0.9))))/240*100</f>
        <v>0</v>
      </c>
      <c r="L136" s="77">
        <f t="shared" si="24"/>
        <v>20.484413376612924</v>
      </c>
      <c r="M136" s="77">
        <f t="shared" si="25"/>
        <v>13.055215120583735</v>
      </c>
      <c r="N136" s="77">
        <f t="shared" si="26"/>
        <v>8.4146861754471303</v>
      </c>
      <c r="O136" s="77">
        <f t="shared" si="27"/>
        <v>4.4034848462667471</v>
      </c>
      <c r="P136" s="77">
        <f t="shared" si="28"/>
        <v>6.8193813583251206</v>
      </c>
      <c r="Q136" s="77">
        <f t="shared" si="29"/>
        <v>4.4675276205837324</v>
      </c>
      <c r="R136" s="77">
        <f t="shared" si="30"/>
        <v>2.9066175291447376</v>
      </c>
      <c r="S136" s="77">
        <f t="shared" si="31"/>
        <v>2.1826113828423455</v>
      </c>
    </row>
    <row r="137" spans="1:19" ht="14.25" x14ac:dyDescent="0.2">
      <c r="A137" s="79">
        <v>127</v>
      </c>
      <c r="B137" s="78">
        <v>529</v>
      </c>
      <c r="C137" s="77">
        <f t="shared" si="16"/>
        <v>26.612679467549288</v>
      </c>
      <c r="D137" s="77">
        <f t="shared" si="17"/>
        <v>16.058708914152316</v>
      </c>
      <c r="E137" s="77">
        <f t="shared" si="18"/>
        <v>8.8397921313218522</v>
      </c>
      <c r="F137" s="77">
        <f t="shared" si="19"/>
        <v>5.6906729509441796</v>
      </c>
      <c r="G137" s="77">
        <f t="shared" si="20"/>
        <v>3.7193633607553434</v>
      </c>
      <c r="H137" s="77">
        <f t="shared" si="21"/>
        <v>2.3493989754720901</v>
      </c>
      <c r="I137" s="77">
        <f t="shared" si="22"/>
        <v>1.8565715779248808</v>
      </c>
      <c r="J137" s="77">
        <f t="shared" si="23"/>
        <v>1.171589385283254</v>
      </c>
      <c r="K137" s="272">
        <f>+B137*(('Step 2 - Transformer Sizing'!$R$22*0.9)+('Step 2 - Transformer Sizing'!$R$23*SIN(ACOS(0.9))))/240*100</f>
        <v>0</v>
      </c>
      <c r="L137" s="77">
        <f t="shared" si="24"/>
        <v>20.640485097577592</v>
      </c>
      <c r="M137" s="77">
        <f t="shared" si="25"/>
        <v>13.154683426264372</v>
      </c>
      <c r="N137" s="77">
        <f t="shared" si="26"/>
        <v>8.4787980701172039</v>
      </c>
      <c r="O137" s="77">
        <f t="shared" si="27"/>
        <v>4.4370352070002079</v>
      </c>
      <c r="P137" s="77">
        <f t="shared" si="28"/>
        <v>6.8713385496266461</v>
      </c>
      <c r="Q137" s="77">
        <f t="shared" si="29"/>
        <v>4.5015659262643704</v>
      </c>
      <c r="R137" s="77">
        <f t="shared" si="30"/>
        <v>2.9287631865096495</v>
      </c>
      <c r="S137" s="77">
        <f t="shared" si="31"/>
        <v>2.1992408029020964</v>
      </c>
    </row>
    <row r="138" spans="1:19" ht="14.25" x14ac:dyDescent="0.2">
      <c r="A138" s="79">
        <v>128</v>
      </c>
      <c r="B138" s="78">
        <v>533</v>
      </c>
      <c r="C138" s="77">
        <f t="shared" ref="C138:C201" si="32">+B138*((0.108*0.9)+(0.054*SIN(ACOS(0.9))))/240*100</f>
        <v>26.813909558041154</v>
      </c>
      <c r="D138" s="77">
        <f t="shared" ref="D138:D201" si="33">+B138*((0.064*0.9)+(0.035*SIN(ACOS(0.9))))/240*100</f>
        <v>16.180135824656304</v>
      </c>
      <c r="E138" s="77">
        <f t="shared" ref="E138:E201" si="34">+B138*((0.031*0.9)+(0.028*SIN(ACOS(0.9))))/240*100</f>
        <v>8.906633659725042</v>
      </c>
      <c r="F138" s="77">
        <f t="shared" ref="F138:F201" si="35">+B138*((0.019*0.9)+(0.02*SIN(ACOS(0.9))))/240*100</f>
        <v>5.7337026140893155</v>
      </c>
      <c r="G138" s="77">
        <f t="shared" ref="G138:G201" si="36">+B138*((0.011*0.9)+(0.016*SIN(ACOS(0.9))))/240*100</f>
        <v>3.7474870912714522</v>
      </c>
      <c r="H138" s="77">
        <f t="shared" ref="H138:H201" si="37">+B138*((0.007*0.9)+(0.01*SIN(ACOS(0.9))))/240*100</f>
        <v>2.3671638070446579</v>
      </c>
      <c r="I138" s="77">
        <f t="shared" ref="I138:I201" si="38">+B138*((0.005*0.9)+(0.009*SIN(ACOS(0.9))))/240*100</f>
        <v>1.8706099263401919</v>
      </c>
      <c r="J138" s="77">
        <f t="shared" ref="J138:J201" si="39">+B138*((0.003*0.9)+(0.006*SIN(ACOS(0.9))))/240*100</f>
        <v>1.1804482842267947</v>
      </c>
      <c r="K138" s="272">
        <f>+B138*(('Step 2 - Transformer Sizing'!$R$22*0.9)+('Step 2 - Transformer Sizing'!$R$23*SIN(ACOS(0.9))))/240*100</f>
        <v>0</v>
      </c>
      <c r="L138" s="77">
        <f t="shared" ref="L138:L201" si="40">+$B138*((0.506/1000*100*0.9)+(0.0294/1000*100*SIN(ACOS(0.9))))/240*100*2</f>
        <v>20.796556818542257</v>
      </c>
      <c r="M138" s="77">
        <f t="shared" ref="M138:M201" si="41">+$B138*((0.318/1000*100*0.9)+(0.028/1000*100*SIN(ACOS(0.9))))/240*100*2</f>
        <v>13.25415173194501</v>
      </c>
      <c r="N138" s="77">
        <f t="shared" ref="N138:N201" si="42">+$B138*((0.2/1000*100*0.9)+(0.0283/1000*100*SIN(ACOS(0.9))))/240*100*2</f>
        <v>8.5429099647872775</v>
      </c>
      <c r="O138" s="77">
        <f t="shared" ref="O138:O201" si="43">+$B138*((0.099/1000*100*0.9)+(0.0265/1000*100*SIN(ACOS(0.9))))/240*100*2</f>
        <v>4.4705855677336688</v>
      </c>
      <c r="P138" s="77">
        <f t="shared" ref="P138:P201" si="44">+$B138*((0.159/1000*100*0.9)+(0.0293/1000*100*SIN(ACOS(0.9))))/240*100*2</f>
        <v>6.923295740928169</v>
      </c>
      <c r="Q138" s="77">
        <f t="shared" ref="Q138:Q201" si="45">+$B138*((0.0999/1000*100*0.9)+(0.028/1000*100*SIN(ACOS(0.9))))/240*100*2</f>
        <v>4.5356042319450092</v>
      </c>
      <c r="R138" s="77">
        <f t="shared" ref="R138:R201" si="46">+$B138*((0.0605/1000*100*0.9)+(0.0275/1000*100*SIN(ACOS(0.9))))/240*100*2</f>
        <v>2.9509088438745619</v>
      </c>
      <c r="S138" s="77">
        <f t="shared" ref="S138:S201" si="47">+$B138*((0.0425/1000*100*0.9)+(0.0267/1000*100*SIN(ACOS(0.9))))/240*100*2</f>
        <v>2.2158702229618474</v>
      </c>
    </row>
    <row r="139" spans="1:19" ht="14.25" x14ac:dyDescent="0.2">
      <c r="A139" s="79">
        <v>129</v>
      </c>
      <c r="B139" s="78">
        <v>538</v>
      </c>
      <c r="C139" s="77">
        <f t="shared" si="32"/>
        <v>27.065447171155988</v>
      </c>
      <c r="D139" s="77">
        <f t="shared" si="33"/>
        <v>16.331919462786285</v>
      </c>
      <c r="E139" s="77">
        <f t="shared" si="34"/>
        <v>8.9901855702290305</v>
      </c>
      <c r="F139" s="77">
        <f t="shared" si="35"/>
        <v>5.7874896930207349</v>
      </c>
      <c r="G139" s="77">
        <f t="shared" si="36"/>
        <v>3.7826417544165873</v>
      </c>
      <c r="H139" s="77">
        <f t="shared" si="37"/>
        <v>2.3893698465103674</v>
      </c>
      <c r="I139" s="77">
        <f t="shared" si="38"/>
        <v>1.8881578618593304</v>
      </c>
      <c r="J139" s="77">
        <f t="shared" si="39"/>
        <v>1.1915219079062207</v>
      </c>
      <c r="K139" s="272">
        <f>+B139*(('Step 2 - Transformer Sizing'!$R$22*0.9)+('Step 2 - Transformer Sizing'!$R$23*SIN(ACOS(0.9))))/240*100</f>
        <v>0</v>
      </c>
      <c r="L139" s="77">
        <f t="shared" si="40"/>
        <v>20.991646469748098</v>
      </c>
      <c r="M139" s="77">
        <f t="shared" si="41"/>
        <v>13.378487114045805</v>
      </c>
      <c r="N139" s="77">
        <f t="shared" si="42"/>
        <v>8.6230498331248704</v>
      </c>
      <c r="O139" s="77">
        <f t="shared" si="43"/>
        <v>4.5125235186504948</v>
      </c>
      <c r="P139" s="77">
        <f t="shared" si="44"/>
        <v>6.9882422300550768</v>
      </c>
      <c r="Q139" s="77">
        <f t="shared" si="45"/>
        <v>4.5781521140458059</v>
      </c>
      <c r="R139" s="77">
        <f t="shared" si="46"/>
        <v>2.9785909155807024</v>
      </c>
      <c r="S139" s="77">
        <f t="shared" si="47"/>
        <v>2.2366569980365365</v>
      </c>
    </row>
    <row r="140" spans="1:19" ht="14.25" x14ac:dyDescent="0.2">
      <c r="A140" s="79">
        <v>130</v>
      </c>
      <c r="B140" s="78">
        <v>542</v>
      </c>
      <c r="C140" s="77">
        <f t="shared" si="32"/>
        <v>27.26667726164785</v>
      </c>
      <c r="D140" s="77">
        <f t="shared" si="33"/>
        <v>16.453346373290277</v>
      </c>
      <c r="E140" s="77">
        <f t="shared" si="34"/>
        <v>9.0570270986322186</v>
      </c>
      <c r="F140" s="77">
        <f t="shared" si="35"/>
        <v>5.8305193561658708</v>
      </c>
      <c r="G140" s="77">
        <f t="shared" si="36"/>
        <v>3.8107654849326962</v>
      </c>
      <c r="H140" s="77">
        <f t="shared" si="37"/>
        <v>2.4071346780829352</v>
      </c>
      <c r="I140" s="77">
        <f t="shared" si="38"/>
        <v>1.9021962102746415</v>
      </c>
      <c r="J140" s="77">
        <f t="shared" si="39"/>
        <v>1.2003808068497612</v>
      </c>
      <c r="K140" s="272">
        <f>+B140*(('Step 2 - Transformer Sizing'!$R$22*0.9)+('Step 2 - Transformer Sizing'!$R$23*SIN(ACOS(0.9))))/240*100</f>
        <v>0</v>
      </c>
      <c r="L140" s="77">
        <f t="shared" si="40"/>
        <v>21.147718190712766</v>
      </c>
      <c r="M140" s="77">
        <f t="shared" si="41"/>
        <v>13.477955419726445</v>
      </c>
      <c r="N140" s="77">
        <f t="shared" si="42"/>
        <v>8.6871617277949422</v>
      </c>
      <c r="O140" s="77">
        <f t="shared" si="43"/>
        <v>4.5460738793839566</v>
      </c>
      <c r="P140" s="77">
        <f t="shared" si="44"/>
        <v>7.0401994213566006</v>
      </c>
      <c r="Q140" s="77">
        <f t="shared" si="45"/>
        <v>4.6121904197264438</v>
      </c>
      <c r="R140" s="77">
        <f t="shared" si="46"/>
        <v>3.0007365729456148</v>
      </c>
      <c r="S140" s="77">
        <f t="shared" si="47"/>
        <v>2.2532864180962875</v>
      </c>
    </row>
    <row r="141" spans="1:19" ht="14.25" x14ac:dyDescent="0.2">
      <c r="A141" s="79">
        <v>131</v>
      </c>
      <c r="B141" s="78">
        <v>546</v>
      </c>
      <c r="C141" s="77">
        <f t="shared" si="32"/>
        <v>27.467907352139715</v>
      </c>
      <c r="D141" s="77">
        <f t="shared" si="33"/>
        <v>16.574773283794261</v>
      </c>
      <c r="E141" s="77">
        <f t="shared" si="34"/>
        <v>9.1238686270354084</v>
      </c>
      <c r="F141" s="77">
        <f t="shared" si="35"/>
        <v>5.8735490193110067</v>
      </c>
      <c r="G141" s="77">
        <f t="shared" si="36"/>
        <v>3.8388892154488041</v>
      </c>
      <c r="H141" s="77">
        <f t="shared" si="37"/>
        <v>2.424899509655503</v>
      </c>
      <c r="I141" s="77">
        <f t="shared" si="38"/>
        <v>1.9162345586899523</v>
      </c>
      <c r="J141" s="77">
        <f t="shared" si="39"/>
        <v>1.209239705793302</v>
      </c>
      <c r="K141" s="272">
        <f>+B141*(('Step 2 - Transformer Sizing'!$R$22*0.9)+('Step 2 - Transformer Sizing'!$R$23*SIN(ACOS(0.9))))/240*100</f>
        <v>0</v>
      </c>
      <c r="L141" s="77">
        <f t="shared" si="40"/>
        <v>21.303789911677438</v>
      </c>
      <c r="M141" s="77">
        <f t="shared" si="41"/>
        <v>13.577423725407083</v>
      </c>
      <c r="N141" s="77">
        <f t="shared" si="42"/>
        <v>8.7512736224650176</v>
      </c>
      <c r="O141" s="77">
        <f t="shared" si="43"/>
        <v>4.5796242401174174</v>
      </c>
      <c r="P141" s="77">
        <f t="shared" si="44"/>
        <v>7.0921566126581252</v>
      </c>
      <c r="Q141" s="77">
        <f t="shared" si="45"/>
        <v>4.6462287254070826</v>
      </c>
      <c r="R141" s="77">
        <f t="shared" si="46"/>
        <v>3.0228822303105267</v>
      </c>
      <c r="S141" s="77">
        <f t="shared" si="47"/>
        <v>2.2699158381560389</v>
      </c>
    </row>
    <row r="142" spans="1:19" ht="14.25" x14ac:dyDescent="0.2">
      <c r="A142" s="79">
        <v>132</v>
      </c>
      <c r="B142" s="78">
        <v>550</v>
      </c>
      <c r="C142" s="77">
        <f t="shared" si="32"/>
        <v>27.669137442631587</v>
      </c>
      <c r="D142" s="77">
        <f t="shared" si="33"/>
        <v>16.69620019429825</v>
      </c>
      <c r="E142" s="77">
        <f t="shared" si="34"/>
        <v>9.1907101554385982</v>
      </c>
      <c r="F142" s="77">
        <f t="shared" si="35"/>
        <v>5.9165786824561417</v>
      </c>
      <c r="G142" s="77">
        <f t="shared" si="36"/>
        <v>3.867012945964913</v>
      </c>
      <c r="H142" s="77">
        <f t="shared" si="37"/>
        <v>2.4426643412280713</v>
      </c>
      <c r="I142" s="77">
        <f t="shared" si="38"/>
        <v>1.9302729071052638</v>
      </c>
      <c r="J142" s="77">
        <f t="shared" si="39"/>
        <v>1.2180986047368425</v>
      </c>
      <c r="K142" s="272">
        <f>+B142*(('Step 2 - Transformer Sizing'!$R$22*0.9)+('Step 2 - Transformer Sizing'!$R$23*SIN(ACOS(0.9))))/240*100</f>
        <v>0</v>
      </c>
      <c r="L142" s="77">
        <f t="shared" si="40"/>
        <v>21.459861632642109</v>
      </c>
      <c r="M142" s="77">
        <f t="shared" si="41"/>
        <v>13.676892031087723</v>
      </c>
      <c r="N142" s="77">
        <f t="shared" si="42"/>
        <v>8.8153855171350912</v>
      </c>
      <c r="O142" s="77">
        <f t="shared" si="43"/>
        <v>4.6131746008508774</v>
      </c>
      <c r="P142" s="77">
        <f t="shared" si="44"/>
        <v>7.1441138039596508</v>
      </c>
      <c r="Q142" s="77">
        <f t="shared" si="45"/>
        <v>4.6802670310877197</v>
      </c>
      <c r="R142" s="77">
        <f t="shared" si="46"/>
        <v>3.0450278876754391</v>
      </c>
      <c r="S142" s="77">
        <f t="shared" si="47"/>
        <v>2.2865452582157899</v>
      </c>
    </row>
    <row r="143" spans="1:19" ht="14.25" x14ac:dyDescent="0.2">
      <c r="A143" s="79">
        <v>133</v>
      </c>
      <c r="B143" s="78">
        <v>554</v>
      </c>
      <c r="C143" s="77">
        <f t="shared" si="32"/>
        <v>27.870367533123453</v>
      </c>
      <c r="D143" s="77">
        <f t="shared" si="33"/>
        <v>16.817627104802238</v>
      </c>
      <c r="E143" s="77">
        <f t="shared" si="34"/>
        <v>9.2575516838417879</v>
      </c>
      <c r="F143" s="77">
        <f t="shared" si="35"/>
        <v>5.9596083456012767</v>
      </c>
      <c r="G143" s="77">
        <f t="shared" si="36"/>
        <v>3.8951366764810218</v>
      </c>
      <c r="H143" s="77">
        <f t="shared" si="37"/>
        <v>2.4604291728006387</v>
      </c>
      <c r="I143" s="77">
        <f t="shared" si="38"/>
        <v>1.9443112555205748</v>
      </c>
      <c r="J143" s="77">
        <f t="shared" si="39"/>
        <v>1.2269575036803833</v>
      </c>
      <c r="K143" s="272">
        <f>+B143*(('Step 2 - Transformer Sizing'!$R$22*0.9)+('Step 2 - Transformer Sizing'!$R$23*SIN(ACOS(0.9))))/240*100</f>
        <v>0</v>
      </c>
      <c r="L143" s="77">
        <f t="shared" si="40"/>
        <v>21.615933353606778</v>
      </c>
      <c r="M143" s="77">
        <f t="shared" si="41"/>
        <v>13.776360336768359</v>
      </c>
      <c r="N143" s="77">
        <f t="shared" si="42"/>
        <v>8.8794974118051631</v>
      </c>
      <c r="O143" s="77">
        <f t="shared" si="43"/>
        <v>4.6467249615843382</v>
      </c>
      <c r="P143" s="77">
        <f t="shared" si="44"/>
        <v>7.1960709952611754</v>
      </c>
      <c r="Q143" s="77">
        <f t="shared" si="45"/>
        <v>4.7143053367683576</v>
      </c>
      <c r="R143" s="77">
        <f t="shared" si="46"/>
        <v>3.0671735450403514</v>
      </c>
      <c r="S143" s="77">
        <f t="shared" si="47"/>
        <v>2.3031746782755413</v>
      </c>
    </row>
    <row r="144" spans="1:19" ht="14.25" x14ac:dyDescent="0.2">
      <c r="A144" s="79">
        <v>134</v>
      </c>
      <c r="B144" s="78">
        <v>558</v>
      </c>
      <c r="C144" s="77">
        <f t="shared" si="32"/>
        <v>28.071597623615315</v>
      </c>
      <c r="D144" s="77">
        <f t="shared" si="33"/>
        <v>16.939054015306223</v>
      </c>
      <c r="E144" s="77">
        <f t="shared" si="34"/>
        <v>9.3243932122449795</v>
      </c>
      <c r="F144" s="77">
        <f t="shared" si="35"/>
        <v>6.0026380087464126</v>
      </c>
      <c r="G144" s="77">
        <f t="shared" si="36"/>
        <v>3.9232604069971297</v>
      </c>
      <c r="H144" s="77">
        <f t="shared" si="37"/>
        <v>2.4781940043732065</v>
      </c>
      <c r="I144" s="77">
        <f t="shared" si="38"/>
        <v>1.9583496039358859</v>
      </c>
      <c r="J144" s="77">
        <f t="shared" si="39"/>
        <v>1.235816402623924</v>
      </c>
      <c r="K144" s="272">
        <f>+B144*(('Step 2 - Transformer Sizing'!$R$22*0.9)+('Step 2 - Transformer Sizing'!$R$23*SIN(ACOS(0.9))))/240*100</f>
        <v>0</v>
      </c>
      <c r="L144" s="77">
        <f t="shared" si="40"/>
        <v>21.77200507457145</v>
      </c>
      <c r="M144" s="77">
        <f t="shared" si="41"/>
        <v>13.875828642448997</v>
      </c>
      <c r="N144" s="77">
        <f t="shared" si="42"/>
        <v>8.9436093064752367</v>
      </c>
      <c r="O144" s="77">
        <f t="shared" si="43"/>
        <v>4.6802753223177991</v>
      </c>
      <c r="P144" s="77">
        <f t="shared" si="44"/>
        <v>7.2480281865626992</v>
      </c>
      <c r="Q144" s="77">
        <f t="shared" si="45"/>
        <v>4.7483436424489955</v>
      </c>
      <c r="R144" s="77">
        <f t="shared" si="46"/>
        <v>3.0893192024052638</v>
      </c>
      <c r="S144" s="77">
        <f t="shared" si="47"/>
        <v>2.3198040983352923</v>
      </c>
    </row>
    <row r="145" spans="1:19" ht="14.25" x14ac:dyDescent="0.2">
      <c r="A145" s="79">
        <v>135</v>
      </c>
      <c r="B145" s="78">
        <v>563</v>
      </c>
      <c r="C145" s="77">
        <f t="shared" si="32"/>
        <v>28.323135236730145</v>
      </c>
      <c r="D145" s="77">
        <f t="shared" si="33"/>
        <v>17.090837653436207</v>
      </c>
      <c r="E145" s="77">
        <f t="shared" si="34"/>
        <v>9.4079451227489663</v>
      </c>
      <c r="F145" s="77">
        <f t="shared" si="35"/>
        <v>6.0564250876778321</v>
      </c>
      <c r="G145" s="77">
        <f t="shared" si="36"/>
        <v>3.9584150701422653</v>
      </c>
      <c r="H145" s="77">
        <f t="shared" si="37"/>
        <v>2.5004000438389165</v>
      </c>
      <c r="I145" s="77">
        <f t="shared" si="38"/>
        <v>1.9758975394550244</v>
      </c>
      <c r="J145" s="77">
        <f t="shared" si="39"/>
        <v>1.2468900263033498</v>
      </c>
      <c r="K145" s="272">
        <f>+B145*(('Step 2 - Transformer Sizing'!$R$22*0.9)+('Step 2 - Transformer Sizing'!$R$23*SIN(ACOS(0.9))))/240*100</f>
        <v>0</v>
      </c>
      <c r="L145" s="77">
        <f t="shared" si="40"/>
        <v>21.967094725777287</v>
      </c>
      <c r="M145" s="77">
        <f t="shared" si="41"/>
        <v>14.000164024549793</v>
      </c>
      <c r="N145" s="77">
        <f t="shared" si="42"/>
        <v>9.0237491748128278</v>
      </c>
      <c r="O145" s="77">
        <f t="shared" si="43"/>
        <v>4.7222132732346251</v>
      </c>
      <c r="P145" s="77">
        <f t="shared" si="44"/>
        <v>7.3129746756896052</v>
      </c>
      <c r="Q145" s="77">
        <f t="shared" si="45"/>
        <v>4.7908915245497932</v>
      </c>
      <c r="R145" s="77">
        <f t="shared" si="46"/>
        <v>3.1170012741114039</v>
      </c>
      <c r="S145" s="77">
        <f t="shared" si="47"/>
        <v>2.3405908734099814</v>
      </c>
    </row>
    <row r="146" spans="1:19" ht="14.25" x14ac:dyDescent="0.2">
      <c r="A146" s="79">
        <v>136</v>
      </c>
      <c r="B146" s="78">
        <v>567</v>
      </c>
      <c r="C146" s="77">
        <f t="shared" si="32"/>
        <v>28.524365327222011</v>
      </c>
      <c r="D146" s="77">
        <f t="shared" si="33"/>
        <v>17.212264563940195</v>
      </c>
      <c r="E146" s="77">
        <f t="shared" si="34"/>
        <v>9.4747866511521561</v>
      </c>
      <c r="F146" s="77">
        <f t="shared" si="35"/>
        <v>6.099454750822968</v>
      </c>
      <c r="G146" s="77">
        <f t="shared" si="36"/>
        <v>3.9865388006583742</v>
      </c>
      <c r="H146" s="77">
        <f t="shared" si="37"/>
        <v>2.5181648754114838</v>
      </c>
      <c r="I146" s="77">
        <f t="shared" si="38"/>
        <v>1.9899358878703355</v>
      </c>
      <c r="J146" s="77">
        <f t="shared" si="39"/>
        <v>1.2557489252468905</v>
      </c>
      <c r="K146" s="272">
        <f>+B146*(('Step 2 - Transformer Sizing'!$R$22*0.9)+('Step 2 - Transformer Sizing'!$R$23*SIN(ACOS(0.9))))/240*100</f>
        <v>0</v>
      </c>
      <c r="L146" s="77">
        <f t="shared" si="40"/>
        <v>22.123166446741955</v>
      </c>
      <c r="M146" s="77">
        <f t="shared" si="41"/>
        <v>14.099632330230433</v>
      </c>
      <c r="N146" s="77">
        <f t="shared" si="42"/>
        <v>9.0878610694829014</v>
      </c>
      <c r="O146" s="77">
        <f t="shared" si="43"/>
        <v>4.7557636339680878</v>
      </c>
      <c r="P146" s="77">
        <f t="shared" si="44"/>
        <v>7.3649318669911299</v>
      </c>
      <c r="Q146" s="77">
        <f t="shared" si="45"/>
        <v>4.8249298302304311</v>
      </c>
      <c r="R146" s="77">
        <f t="shared" si="46"/>
        <v>3.1391469314763167</v>
      </c>
      <c r="S146" s="77">
        <f t="shared" si="47"/>
        <v>2.3572202934697324</v>
      </c>
    </row>
    <row r="147" spans="1:19" ht="14.25" x14ac:dyDescent="0.2">
      <c r="A147" s="79">
        <v>137</v>
      </c>
      <c r="B147" s="78">
        <v>571</v>
      </c>
      <c r="C147" s="77">
        <f t="shared" si="32"/>
        <v>28.725595417713883</v>
      </c>
      <c r="D147" s="77">
        <f t="shared" si="33"/>
        <v>17.333691474444183</v>
      </c>
      <c r="E147" s="77">
        <f t="shared" si="34"/>
        <v>9.5416281795553459</v>
      </c>
      <c r="F147" s="77">
        <f t="shared" si="35"/>
        <v>6.1424844139681039</v>
      </c>
      <c r="G147" s="77">
        <f t="shared" si="36"/>
        <v>4.0146625311744826</v>
      </c>
      <c r="H147" s="77">
        <f t="shared" si="37"/>
        <v>2.5359297069840516</v>
      </c>
      <c r="I147" s="77">
        <f t="shared" si="38"/>
        <v>2.0039742362856461</v>
      </c>
      <c r="J147" s="77">
        <f t="shared" si="39"/>
        <v>1.2646078241904311</v>
      </c>
      <c r="K147" s="272">
        <f>+B147*(('Step 2 - Transformer Sizing'!$R$22*0.9)+('Step 2 - Transformer Sizing'!$R$23*SIN(ACOS(0.9))))/240*100</f>
        <v>0</v>
      </c>
      <c r="L147" s="77">
        <f t="shared" si="40"/>
        <v>22.279238167706623</v>
      </c>
      <c r="M147" s="77">
        <f t="shared" si="41"/>
        <v>14.199100635911069</v>
      </c>
      <c r="N147" s="77">
        <f t="shared" si="42"/>
        <v>9.151972964152975</v>
      </c>
      <c r="O147" s="77">
        <f t="shared" si="43"/>
        <v>4.7893139947015477</v>
      </c>
      <c r="P147" s="77">
        <f t="shared" si="44"/>
        <v>7.4168890582926554</v>
      </c>
      <c r="Q147" s="77">
        <f t="shared" si="45"/>
        <v>4.858968135911069</v>
      </c>
      <c r="R147" s="77">
        <f t="shared" si="46"/>
        <v>3.1612925888412287</v>
      </c>
      <c r="S147" s="77">
        <f t="shared" si="47"/>
        <v>2.3738497135294838</v>
      </c>
    </row>
    <row r="148" spans="1:19" ht="14.25" x14ac:dyDescent="0.2">
      <c r="A148" s="79">
        <v>138</v>
      </c>
      <c r="B148" s="78">
        <v>575</v>
      </c>
      <c r="C148" s="77">
        <f t="shared" si="32"/>
        <v>28.926825508205745</v>
      </c>
      <c r="D148" s="77">
        <f t="shared" si="33"/>
        <v>17.455118384948168</v>
      </c>
      <c r="E148" s="77">
        <f t="shared" si="34"/>
        <v>9.6084697079585357</v>
      </c>
      <c r="F148" s="77">
        <f t="shared" si="35"/>
        <v>6.1855140771132389</v>
      </c>
      <c r="G148" s="77">
        <f t="shared" si="36"/>
        <v>4.0427862616905914</v>
      </c>
      <c r="H148" s="77">
        <f t="shared" si="37"/>
        <v>2.553694538556619</v>
      </c>
      <c r="I148" s="77">
        <f t="shared" si="38"/>
        <v>2.0180125847009576</v>
      </c>
      <c r="J148" s="77">
        <f t="shared" si="39"/>
        <v>1.2734667231339718</v>
      </c>
      <c r="K148" s="272">
        <f>+B148*(('Step 2 - Transformer Sizing'!$R$22*0.9)+('Step 2 - Transformer Sizing'!$R$23*SIN(ACOS(0.9))))/240*100</f>
        <v>0</v>
      </c>
      <c r="L148" s="77">
        <f t="shared" si="40"/>
        <v>22.435309888671291</v>
      </c>
      <c r="M148" s="77">
        <f t="shared" si="41"/>
        <v>14.298568941591711</v>
      </c>
      <c r="N148" s="77">
        <f t="shared" si="42"/>
        <v>9.2160848588230504</v>
      </c>
      <c r="O148" s="77">
        <f t="shared" si="43"/>
        <v>4.8228643554350086</v>
      </c>
      <c r="P148" s="77">
        <f t="shared" si="44"/>
        <v>7.4688462495941801</v>
      </c>
      <c r="Q148" s="77">
        <f t="shared" si="45"/>
        <v>4.8930064415917069</v>
      </c>
      <c r="R148" s="77">
        <f t="shared" si="46"/>
        <v>3.183438246206141</v>
      </c>
      <c r="S148" s="77">
        <f t="shared" si="47"/>
        <v>2.3904791335892348</v>
      </c>
    </row>
    <row r="149" spans="1:19" ht="14.25" x14ac:dyDescent="0.2">
      <c r="A149" s="79">
        <v>139</v>
      </c>
      <c r="B149" s="78">
        <v>579</v>
      </c>
      <c r="C149" s="77">
        <f t="shared" si="32"/>
        <v>29.12805559869761</v>
      </c>
      <c r="D149" s="77">
        <f t="shared" si="33"/>
        <v>17.576545295452156</v>
      </c>
      <c r="E149" s="77">
        <f t="shared" si="34"/>
        <v>9.6753112363617255</v>
      </c>
      <c r="F149" s="77">
        <f t="shared" si="35"/>
        <v>6.2285437402583739</v>
      </c>
      <c r="G149" s="77">
        <f t="shared" si="36"/>
        <v>4.0709099922066994</v>
      </c>
      <c r="H149" s="77">
        <f t="shared" si="37"/>
        <v>2.5714593701291872</v>
      </c>
      <c r="I149" s="77">
        <f t="shared" si="38"/>
        <v>2.0320509331162686</v>
      </c>
      <c r="J149" s="77">
        <f t="shared" si="39"/>
        <v>1.2823256220775123</v>
      </c>
      <c r="K149" s="272">
        <f>+B149*(('Step 2 - Transformer Sizing'!$R$22*0.9)+('Step 2 - Transformer Sizing'!$R$23*SIN(ACOS(0.9))))/240*100</f>
        <v>0</v>
      </c>
      <c r="L149" s="77">
        <f t="shared" si="40"/>
        <v>22.591381609635963</v>
      </c>
      <c r="M149" s="77">
        <f t="shared" si="41"/>
        <v>14.398037247272347</v>
      </c>
      <c r="N149" s="77">
        <f t="shared" si="42"/>
        <v>9.2801967534931205</v>
      </c>
      <c r="O149" s="77">
        <f t="shared" si="43"/>
        <v>4.8564147161684694</v>
      </c>
      <c r="P149" s="77">
        <f t="shared" si="44"/>
        <v>7.5208034408957039</v>
      </c>
      <c r="Q149" s="77">
        <f t="shared" si="45"/>
        <v>4.9270447472723449</v>
      </c>
      <c r="R149" s="77">
        <f t="shared" si="46"/>
        <v>3.2055839035710534</v>
      </c>
      <c r="S149" s="77">
        <f t="shared" si="47"/>
        <v>2.4071085536489862</v>
      </c>
    </row>
    <row r="150" spans="1:19" ht="14.25" x14ac:dyDescent="0.2">
      <c r="A150" s="79">
        <v>140</v>
      </c>
      <c r="B150" s="78">
        <v>583</v>
      </c>
      <c r="C150" s="77">
        <f t="shared" si="32"/>
        <v>29.329285689189476</v>
      </c>
      <c r="D150" s="77">
        <f t="shared" si="33"/>
        <v>17.697972205956141</v>
      </c>
      <c r="E150" s="77">
        <f t="shared" si="34"/>
        <v>9.7421527647649153</v>
      </c>
      <c r="F150" s="77">
        <f t="shared" si="35"/>
        <v>6.2715734034035107</v>
      </c>
      <c r="G150" s="77">
        <f t="shared" si="36"/>
        <v>4.0990337227228082</v>
      </c>
      <c r="H150" s="77">
        <f t="shared" si="37"/>
        <v>2.589224201701755</v>
      </c>
      <c r="I150" s="77">
        <f t="shared" si="38"/>
        <v>2.0460892815315792</v>
      </c>
      <c r="J150" s="77">
        <f t="shared" si="39"/>
        <v>1.2911845210210531</v>
      </c>
      <c r="K150" s="272">
        <f>+B150*(('Step 2 - Transformer Sizing'!$R$22*0.9)+('Step 2 - Transformer Sizing'!$R$23*SIN(ACOS(0.9))))/240*100</f>
        <v>0</v>
      </c>
      <c r="L150" s="77">
        <f t="shared" si="40"/>
        <v>22.747453330600635</v>
      </c>
      <c r="M150" s="77">
        <f t="shared" si="41"/>
        <v>14.497505552952985</v>
      </c>
      <c r="N150" s="77">
        <f t="shared" si="42"/>
        <v>9.3443086481631958</v>
      </c>
      <c r="O150" s="77">
        <f t="shared" si="43"/>
        <v>4.8899650769019303</v>
      </c>
      <c r="P150" s="77">
        <f t="shared" si="44"/>
        <v>7.5727606321972303</v>
      </c>
      <c r="Q150" s="77">
        <f t="shared" si="45"/>
        <v>4.9610830529529828</v>
      </c>
      <c r="R150" s="77">
        <f t="shared" si="46"/>
        <v>3.2277295609359649</v>
      </c>
      <c r="S150" s="77">
        <f t="shared" si="47"/>
        <v>2.4237379737087372</v>
      </c>
    </row>
    <row r="151" spans="1:19" ht="14.25" x14ac:dyDescent="0.2">
      <c r="A151" s="79">
        <v>141</v>
      </c>
      <c r="B151" s="78">
        <v>588</v>
      </c>
      <c r="C151" s="77">
        <f t="shared" si="32"/>
        <v>29.58082330230431</v>
      </c>
      <c r="D151" s="77">
        <f t="shared" si="33"/>
        <v>17.849755844086125</v>
      </c>
      <c r="E151" s="77">
        <f t="shared" si="34"/>
        <v>9.8257046752689021</v>
      </c>
      <c r="F151" s="77">
        <f t="shared" si="35"/>
        <v>6.3253604823349292</v>
      </c>
      <c r="G151" s="77">
        <f t="shared" si="36"/>
        <v>4.1341883858679429</v>
      </c>
      <c r="H151" s="77">
        <f t="shared" si="37"/>
        <v>2.611430241167465</v>
      </c>
      <c r="I151" s="77">
        <f t="shared" si="38"/>
        <v>2.0636372170507182</v>
      </c>
      <c r="J151" s="77">
        <f t="shared" si="39"/>
        <v>1.3022581447004791</v>
      </c>
      <c r="K151" s="272">
        <f>+B151*(('Step 2 - Transformer Sizing'!$R$22*0.9)+('Step 2 - Transformer Sizing'!$R$23*SIN(ACOS(0.9))))/240*100</f>
        <v>0</v>
      </c>
      <c r="L151" s="77">
        <f t="shared" si="40"/>
        <v>22.942542981806472</v>
      </c>
      <c r="M151" s="77">
        <f t="shared" si="41"/>
        <v>14.621840935053781</v>
      </c>
      <c r="N151" s="77">
        <f t="shared" si="42"/>
        <v>9.424448516500787</v>
      </c>
      <c r="O151" s="77">
        <f t="shared" si="43"/>
        <v>4.9319030278187563</v>
      </c>
      <c r="P151" s="77">
        <f t="shared" si="44"/>
        <v>7.6377071213241363</v>
      </c>
      <c r="Q151" s="77">
        <f t="shared" si="45"/>
        <v>5.0036309350537804</v>
      </c>
      <c r="R151" s="77">
        <f t="shared" si="46"/>
        <v>3.2554116326421059</v>
      </c>
      <c r="S151" s="77">
        <f t="shared" si="47"/>
        <v>2.4445247487834267</v>
      </c>
    </row>
    <row r="152" spans="1:19" ht="14.25" x14ac:dyDescent="0.2">
      <c r="A152" s="79">
        <v>142</v>
      </c>
      <c r="B152" s="78">
        <v>592</v>
      </c>
      <c r="C152" s="77">
        <f t="shared" si="32"/>
        <v>29.782053392796175</v>
      </c>
      <c r="D152" s="77">
        <f t="shared" si="33"/>
        <v>17.971182754590114</v>
      </c>
      <c r="E152" s="77">
        <f t="shared" si="34"/>
        <v>9.8925462036720901</v>
      </c>
      <c r="F152" s="77">
        <f t="shared" si="35"/>
        <v>6.368390145480066</v>
      </c>
      <c r="G152" s="77">
        <f t="shared" si="36"/>
        <v>4.1623121163840517</v>
      </c>
      <c r="H152" s="77">
        <f t="shared" si="37"/>
        <v>2.6291950727400324</v>
      </c>
      <c r="I152" s="77">
        <f t="shared" si="38"/>
        <v>2.0776755654660293</v>
      </c>
      <c r="J152" s="77">
        <f t="shared" si="39"/>
        <v>1.3111170436440196</v>
      </c>
      <c r="K152" s="272">
        <f>+B152*(('Step 2 - Transformer Sizing'!$R$22*0.9)+('Step 2 - Transformer Sizing'!$R$23*SIN(ACOS(0.9))))/240*100</f>
        <v>0</v>
      </c>
      <c r="L152" s="77">
        <f t="shared" si="40"/>
        <v>23.09861470277114</v>
      </c>
      <c r="M152" s="77">
        <f t="shared" si="41"/>
        <v>14.721309240734421</v>
      </c>
      <c r="N152" s="77">
        <f t="shared" si="42"/>
        <v>9.4885604111708606</v>
      </c>
      <c r="O152" s="77">
        <f t="shared" si="43"/>
        <v>4.9654533885522181</v>
      </c>
      <c r="P152" s="77">
        <f t="shared" si="44"/>
        <v>7.6896643126256601</v>
      </c>
      <c r="Q152" s="77">
        <f t="shared" si="45"/>
        <v>5.0376692407344184</v>
      </c>
      <c r="R152" s="77">
        <f t="shared" si="46"/>
        <v>3.2775572900070182</v>
      </c>
      <c r="S152" s="77">
        <f t="shared" si="47"/>
        <v>2.4611541688431773</v>
      </c>
    </row>
    <row r="153" spans="1:19" ht="14.25" x14ac:dyDescent="0.2">
      <c r="A153" s="79">
        <v>143</v>
      </c>
      <c r="B153" s="78">
        <v>596</v>
      </c>
      <c r="C153" s="77">
        <f t="shared" si="32"/>
        <v>29.983283483288041</v>
      </c>
      <c r="D153" s="77">
        <f t="shared" si="33"/>
        <v>18.092609665094102</v>
      </c>
      <c r="E153" s="77">
        <f t="shared" si="34"/>
        <v>9.9593877320752817</v>
      </c>
      <c r="F153" s="77">
        <f t="shared" si="35"/>
        <v>6.4114198086252001</v>
      </c>
      <c r="G153" s="77">
        <f t="shared" si="36"/>
        <v>4.1904358469001606</v>
      </c>
      <c r="H153" s="77">
        <f t="shared" si="37"/>
        <v>2.6469599043126002</v>
      </c>
      <c r="I153" s="77">
        <f t="shared" si="38"/>
        <v>2.0917139138813399</v>
      </c>
      <c r="J153" s="77">
        <f t="shared" si="39"/>
        <v>1.3199759425875601</v>
      </c>
      <c r="K153" s="272">
        <f>+B153*(('Step 2 - Transformer Sizing'!$R$22*0.9)+('Step 2 - Transformer Sizing'!$R$23*SIN(ACOS(0.9))))/240*100</f>
        <v>0</v>
      </c>
      <c r="L153" s="77">
        <f t="shared" si="40"/>
        <v>23.254686423735812</v>
      </c>
      <c r="M153" s="77">
        <f t="shared" si="41"/>
        <v>14.820777546415057</v>
      </c>
      <c r="N153" s="77">
        <f t="shared" si="42"/>
        <v>9.5526723058409342</v>
      </c>
      <c r="O153" s="77">
        <f t="shared" si="43"/>
        <v>4.999003749285678</v>
      </c>
      <c r="P153" s="77">
        <f t="shared" si="44"/>
        <v>7.7416215039271847</v>
      </c>
      <c r="Q153" s="77">
        <f t="shared" si="45"/>
        <v>5.0717075464150563</v>
      </c>
      <c r="R153" s="77">
        <f t="shared" si="46"/>
        <v>3.2997029473719306</v>
      </c>
      <c r="S153" s="77">
        <f t="shared" si="47"/>
        <v>2.4777835889029287</v>
      </c>
    </row>
    <row r="154" spans="1:19" ht="14.25" x14ac:dyDescent="0.2">
      <c r="A154" s="79">
        <v>144</v>
      </c>
      <c r="B154" s="78">
        <v>600</v>
      </c>
      <c r="C154" s="77">
        <f t="shared" si="32"/>
        <v>30.18451357377991</v>
      </c>
      <c r="D154" s="77">
        <f t="shared" si="33"/>
        <v>18.21403657559809</v>
      </c>
      <c r="E154" s="77">
        <f t="shared" si="34"/>
        <v>10.026229260478472</v>
      </c>
      <c r="F154" s="77">
        <f t="shared" si="35"/>
        <v>6.454449471770336</v>
      </c>
      <c r="G154" s="77">
        <f t="shared" si="36"/>
        <v>4.2185595774162685</v>
      </c>
      <c r="H154" s="77">
        <f t="shared" si="37"/>
        <v>2.664724735885168</v>
      </c>
      <c r="I154" s="77">
        <f t="shared" si="38"/>
        <v>2.1057522622966509</v>
      </c>
      <c r="J154" s="77">
        <f t="shared" si="39"/>
        <v>1.3288348415311009</v>
      </c>
      <c r="K154" s="272">
        <f>+B154*(('Step 2 - Transformer Sizing'!$R$22*0.9)+('Step 2 - Transformer Sizing'!$R$23*SIN(ACOS(0.9))))/240*100</f>
        <v>0</v>
      </c>
      <c r="L154" s="77">
        <f t="shared" si="40"/>
        <v>23.41075814470048</v>
      </c>
      <c r="M154" s="77">
        <f t="shared" si="41"/>
        <v>14.920245852095698</v>
      </c>
      <c r="N154" s="77">
        <f t="shared" si="42"/>
        <v>9.616784200511006</v>
      </c>
      <c r="O154" s="77">
        <f t="shared" si="43"/>
        <v>5.0325541100191389</v>
      </c>
      <c r="P154" s="77">
        <f t="shared" si="44"/>
        <v>7.7935786952287103</v>
      </c>
      <c r="Q154" s="77">
        <f t="shared" si="45"/>
        <v>5.1057458520956951</v>
      </c>
      <c r="R154" s="77">
        <f t="shared" si="46"/>
        <v>3.3218486047368425</v>
      </c>
      <c r="S154" s="77">
        <f t="shared" si="47"/>
        <v>2.4944130089626801</v>
      </c>
    </row>
    <row r="155" spans="1:19" ht="14.25" x14ac:dyDescent="0.2">
      <c r="A155" s="79">
        <v>145</v>
      </c>
      <c r="B155" s="78">
        <v>604</v>
      </c>
      <c r="C155" s="77">
        <f t="shared" si="32"/>
        <v>30.385743664271775</v>
      </c>
      <c r="D155" s="77">
        <f t="shared" si="33"/>
        <v>18.335463486102078</v>
      </c>
      <c r="E155" s="77">
        <f t="shared" si="34"/>
        <v>10.093070788881661</v>
      </c>
      <c r="F155" s="77">
        <f t="shared" si="35"/>
        <v>6.4974791349154719</v>
      </c>
      <c r="G155" s="77">
        <f t="shared" si="36"/>
        <v>4.2466833079323774</v>
      </c>
      <c r="H155" s="77">
        <f t="shared" si="37"/>
        <v>2.6824895674577363</v>
      </c>
      <c r="I155" s="77">
        <f t="shared" si="38"/>
        <v>2.1197906107119624</v>
      </c>
      <c r="J155" s="77">
        <f t="shared" si="39"/>
        <v>1.3376937404746416</v>
      </c>
      <c r="K155" s="272">
        <f>+B155*(('Step 2 - Transformer Sizing'!$R$22*0.9)+('Step 2 - Transformer Sizing'!$R$23*SIN(ACOS(0.9))))/240*100</f>
        <v>0</v>
      </c>
      <c r="L155" s="77">
        <f t="shared" si="40"/>
        <v>23.566829865665152</v>
      </c>
      <c r="M155" s="77">
        <f t="shared" si="41"/>
        <v>15.019714157776335</v>
      </c>
      <c r="N155" s="77">
        <f t="shared" si="42"/>
        <v>9.6808960951810796</v>
      </c>
      <c r="O155" s="77">
        <f t="shared" si="43"/>
        <v>5.0661044707526006</v>
      </c>
      <c r="P155" s="77">
        <f t="shared" si="44"/>
        <v>7.8455358865302349</v>
      </c>
      <c r="Q155" s="77">
        <f t="shared" si="45"/>
        <v>5.1397841577763321</v>
      </c>
      <c r="R155" s="77">
        <f t="shared" si="46"/>
        <v>3.3439942621017549</v>
      </c>
      <c r="S155" s="77">
        <f t="shared" si="47"/>
        <v>2.5110424290224311</v>
      </c>
    </row>
    <row r="156" spans="1:19" ht="14.25" x14ac:dyDescent="0.2">
      <c r="A156" s="79">
        <v>146</v>
      </c>
      <c r="B156" s="78">
        <v>608</v>
      </c>
      <c r="C156" s="77">
        <f t="shared" si="32"/>
        <v>30.58697375476364</v>
      </c>
      <c r="D156" s="77">
        <f t="shared" si="33"/>
        <v>18.456890396606067</v>
      </c>
      <c r="E156" s="77">
        <f t="shared" si="34"/>
        <v>10.159912317284851</v>
      </c>
      <c r="F156" s="77">
        <f t="shared" si="35"/>
        <v>6.5405087980606087</v>
      </c>
      <c r="G156" s="77">
        <f t="shared" si="36"/>
        <v>4.2748070384484853</v>
      </c>
      <c r="H156" s="77">
        <f t="shared" si="37"/>
        <v>2.7002543990303036</v>
      </c>
      <c r="I156" s="77">
        <f t="shared" si="38"/>
        <v>2.133828959127273</v>
      </c>
      <c r="J156" s="77">
        <f t="shared" si="39"/>
        <v>1.3465526394181824</v>
      </c>
      <c r="K156" s="272">
        <f>+B156*(('Step 2 - Transformer Sizing'!$R$22*0.9)+('Step 2 - Transformer Sizing'!$R$23*SIN(ACOS(0.9))))/240*100</f>
        <v>0</v>
      </c>
      <c r="L156" s="77">
        <f t="shared" si="40"/>
        <v>23.722901586629821</v>
      </c>
      <c r="M156" s="77">
        <f t="shared" si="41"/>
        <v>15.119182463456973</v>
      </c>
      <c r="N156" s="77">
        <f t="shared" si="42"/>
        <v>9.7450079898511532</v>
      </c>
      <c r="O156" s="77">
        <f t="shared" si="43"/>
        <v>5.0996548314860624</v>
      </c>
      <c r="P156" s="77">
        <f t="shared" si="44"/>
        <v>7.8974930778317587</v>
      </c>
      <c r="Q156" s="77">
        <f t="shared" si="45"/>
        <v>5.1738224634569701</v>
      </c>
      <c r="R156" s="77">
        <f t="shared" si="46"/>
        <v>3.3661399194666672</v>
      </c>
      <c r="S156" s="77">
        <f t="shared" si="47"/>
        <v>2.5276718490821826</v>
      </c>
    </row>
    <row r="157" spans="1:19" ht="14.25" x14ac:dyDescent="0.2">
      <c r="A157" s="79">
        <v>147</v>
      </c>
      <c r="B157" s="78">
        <v>613</v>
      </c>
      <c r="C157" s="77">
        <f t="shared" si="32"/>
        <v>30.838511367878475</v>
      </c>
      <c r="D157" s="77">
        <f t="shared" si="33"/>
        <v>18.608674034736048</v>
      </c>
      <c r="E157" s="77">
        <f t="shared" si="34"/>
        <v>10.243464227788838</v>
      </c>
      <c r="F157" s="77">
        <f t="shared" si="35"/>
        <v>6.5942958769920264</v>
      </c>
      <c r="G157" s="77">
        <f t="shared" si="36"/>
        <v>4.3099617015936209</v>
      </c>
      <c r="H157" s="77">
        <f t="shared" si="37"/>
        <v>2.7224604384960136</v>
      </c>
      <c r="I157" s="77">
        <f t="shared" si="38"/>
        <v>2.151376894646412</v>
      </c>
      <c r="J157" s="77">
        <f t="shared" si="39"/>
        <v>1.3576262630976081</v>
      </c>
      <c r="K157" s="272">
        <f>+B157*(('Step 2 - Transformer Sizing'!$R$22*0.9)+('Step 2 - Transformer Sizing'!$R$23*SIN(ACOS(0.9))))/240*100</f>
        <v>0</v>
      </c>
      <c r="L157" s="77">
        <f t="shared" si="40"/>
        <v>23.917991237835658</v>
      </c>
      <c r="M157" s="77">
        <f t="shared" si="41"/>
        <v>15.243517845557768</v>
      </c>
      <c r="N157" s="77">
        <f t="shared" si="42"/>
        <v>9.8251478581887461</v>
      </c>
      <c r="O157" s="77">
        <f t="shared" si="43"/>
        <v>5.1415927824028884</v>
      </c>
      <c r="P157" s="77">
        <f t="shared" si="44"/>
        <v>7.9624395669586638</v>
      </c>
      <c r="Q157" s="77">
        <f t="shared" si="45"/>
        <v>5.2163703455577677</v>
      </c>
      <c r="R157" s="77">
        <f t="shared" si="46"/>
        <v>3.3938219911728074</v>
      </c>
      <c r="S157" s="77">
        <f t="shared" si="47"/>
        <v>2.5484586241568716</v>
      </c>
    </row>
    <row r="158" spans="1:19" ht="14.25" x14ac:dyDescent="0.2">
      <c r="A158" s="79">
        <v>148</v>
      </c>
      <c r="B158" s="78">
        <v>617</v>
      </c>
      <c r="C158" s="77">
        <f t="shared" si="32"/>
        <v>31.03974145837034</v>
      </c>
      <c r="D158" s="77">
        <f t="shared" si="33"/>
        <v>18.730100945240036</v>
      </c>
      <c r="E158" s="77">
        <f t="shared" si="34"/>
        <v>10.310305756192029</v>
      </c>
      <c r="F158" s="77">
        <f t="shared" si="35"/>
        <v>6.637325540137164</v>
      </c>
      <c r="G158" s="77">
        <f t="shared" si="36"/>
        <v>4.3380854321097297</v>
      </c>
      <c r="H158" s="77">
        <f t="shared" si="37"/>
        <v>2.7402252700685814</v>
      </c>
      <c r="I158" s="77">
        <f t="shared" si="38"/>
        <v>2.1654152430617231</v>
      </c>
      <c r="J158" s="77">
        <f t="shared" si="39"/>
        <v>1.3664851620411489</v>
      </c>
      <c r="K158" s="272">
        <f>+B158*(('Step 2 - Transformer Sizing'!$R$22*0.9)+('Step 2 - Transformer Sizing'!$R$23*SIN(ACOS(0.9))))/240*100</f>
        <v>0</v>
      </c>
      <c r="L158" s="77">
        <f t="shared" si="40"/>
        <v>24.074062958800326</v>
      </c>
      <c r="M158" s="77">
        <f t="shared" si="41"/>
        <v>15.342986151238408</v>
      </c>
      <c r="N158" s="77">
        <f t="shared" si="42"/>
        <v>9.889259752858818</v>
      </c>
      <c r="O158" s="77">
        <f t="shared" si="43"/>
        <v>5.1751431431363484</v>
      </c>
      <c r="P158" s="77">
        <f t="shared" si="44"/>
        <v>8.0143967582601903</v>
      </c>
      <c r="Q158" s="77">
        <f t="shared" si="45"/>
        <v>5.2504086512384056</v>
      </c>
      <c r="R158" s="77">
        <f t="shared" si="46"/>
        <v>3.4159676485377197</v>
      </c>
      <c r="S158" s="77">
        <f t="shared" si="47"/>
        <v>2.5650880442166226</v>
      </c>
    </row>
    <row r="159" spans="1:19" ht="14.25" x14ac:dyDescent="0.2">
      <c r="A159" s="79">
        <v>149</v>
      </c>
      <c r="B159" s="78">
        <v>621</v>
      </c>
      <c r="C159" s="77">
        <f t="shared" si="32"/>
        <v>31.240971548862206</v>
      </c>
      <c r="D159" s="77">
        <f t="shared" si="33"/>
        <v>18.851527855744024</v>
      </c>
      <c r="E159" s="77">
        <f t="shared" si="34"/>
        <v>10.377147284595219</v>
      </c>
      <c r="F159" s="77">
        <f t="shared" si="35"/>
        <v>6.6803552032822981</v>
      </c>
      <c r="G159" s="77">
        <f t="shared" si="36"/>
        <v>4.3662091626258377</v>
      </c>
      <c r="H159" s="77">
        <f t="shared" si="37"/>
        <v>2.7579901016411492</v>
      </c>
      <c r="I159" s="77">
        <f t="shared" si="38"/>
        <v>2.1794535914770341</v>
      </c>
      <c r="J159" s="77">
        <f t="shared" si="39"/>
        <v>1.3753440609846896</v>
      </c>
      <c r="K159" s="272">
        <f>+B159*(('Step 2 - Transformer Sizing'!$R$22*0.9)+('Step 2 - Transformer Sizing'!$R$23*SIN(ACOS(0.9))))/240*100</f>
        <v>0</v>
      </c>
      <c r="L159" s="77">
        <f t="shared" si="40"/>
        <v>24.230134679764998</v>
      </c>
      <c r="M159" s="77">
        <f t="shared" si="41"/>
        <v>15.442454456919045</v>
      </c>
      <c r="N159" s="77">
        <f t="shared" si="42"/>
        <v>9.9533716475288934</v>
      </c>
      <c r="O159" s="77">
        <f t="shared" si="43"/>
        <v>5.2086935038698092</v>
      </c>
      <c r="P159" s="77">
        <f t="shared" si="44"/>
        <v>8.0663539495617158</v>
      </c>
      <c r="Q159" s="77">
        <f t="shared" si="45"/>
        <v>5.2844469569190435</v>
      </c>
      <c r="R159" s="77">
        <f t="shared" si="46"/>
        <v>3.4381133059026325</v>
      </c>
      <c r="S159" s="77">
        <f t="shared" si="47"/>
        <v>2.5817174642763736</v>
      </c>
    </row>
    <row r="160" spans="1:19" ht="14.25" x14ac:dyDescent="0.2">
      <c r="A160" s="79">
        <v>150</v>
      </c>
      <c r="B160" s="78">
        <v>625</v>
      </c>
      <c r="C160" s="77">
        <f t="shared" si="32"/>
        <v>31.442201639354067</v>
      </c>
      <c r="D160" s="77">
        <f t="shared" si="33"/>
        <v>18.972954766248009</v>
      </c>
      <c r="E160" s="77">
        <f t="shared" si="34"/>
        <v>10.443988812998409</v>
      </c>
      <c r="F160" s="77">
        <f t="shared" si="35"/>
        <v>6.7233848664274332</v>
      </c>
      <c r="G160" s="77">
        <f t="shared" si="36"/>
        <v>4.3943328931419465</v>
      </c>
      <c r="H160" s="77">
        <f t="shared" si="37"/>
        <v>2.7757549332137166</v>
      </c>
      <c r="I160" s="77">
        <f t="shared" si="38"/>
        <v>2.1934919398923451</v>
      </c>
      <c r="J160" s="77">
        <f t="shared" si="39"/>
        <v>1.3842029599282302</v>
      </c>
      <c r="K160" s="272">
        <f>+B160*(('Step 2 - Transformer Sizing'!$R$22*0.9)+('Step 2 - Transformer Sizing'!$R$23*SIN(ACOS(0.9))))/240*100</f>
        <v>0</v>
      </c>
      <c r="L160" s="77">
        <f t="shared" si="40"/>
        <v>24.386206400729669</v>
      </c>
      <c r="M160" s="77">
        <f t="shared" si="41"/>
        <v>15.541922762599683</v>
      </c>
      <c r="N160" s="77">
        <f t="shared" si="42"/>
        <v>10.017483542198965</v>
      </c>
      <c r="O160" s="77">
        <f t="shared" si="43"/>
        <v>5.2422438646032701</v>
      </c>
      <c r="P160" s="77">
        <f t="shared" si="44"/>
        <v>8.1183111408632378</v>
      </c>
      <c r="Q160" s="77">
        <f t="shared" si="45"/>
        <v>5.3184852625996815</v>
      </c>
      <c r="R160" s="77">
        <f t="shared" si="46"/>
        <v>3.4602589632675449</v>
      </c>
      <c r="S160" s="77">
        <f t="shared" si="47"/>
        <v>2.5983468843361246</v>
      </c>
    </row>
    <row r="161" spans="1:19" ht="14.25" x14ac:dyDescent="0.2">
      <c r="A161" s="79">
        <v>151</v>
      </c>
      <c r="B161" s="78">
        <v>629</v>
      </c>
      <c r="C161" s="77">
        <f t="shared" si="32"/>
        <v>31.64343172984594</v>
      </c>
      <c r="D161" s="77">
        <f t="shared" si="33"/>
        <v>19.094381676751997</v>
      </c>
      <c r="E161" s="77">
        <f t="shared" si="34"/>
        <v>10.510830341401597</v>
      </c>
      <c r="F161" s="77">
        <f t="shared" si="35"/>
        <v>6.7664145295725691</v>
      </c>
      <c r="G161" s="77">
        <f t="shared" si="36"/>
        <v>4.4224566236580545</v>
      </c>
      <c r="H161" s="77">
        <f t="shared" si="37"/>
        <v>2.7935197647862844</v>
      </c>
      <c r="I161" s="77">
        <f t="shared" si="38"/>
        <v>2.2075302883076562</v>
      </c>
      <c r="J161" s="77">
        <f t="shared" si="39"/>
        <v>1.3930618588717709</v>
      </c>
      <c r="K161" s="272">
        <f>+B161*(('Step 2 - Transformer Sizing'!$R$22*0.9)+('Step 2 - Transformer Sizing'!$R$23*SIN(ACOS(0.9))))/240*100</f>
        <v>0</v>
      </c>
      <c r="L161" s="77">
        <f t="shared" si="40"/>
        <v>24.542278121694334</v>
      </c>
      <c r="M161" s="77">
        <f t="shared" si="41"/>
        <v>15.641391068280322</v>
      </c>
      <c r="N161" s="77">
        <f t="shared" si="42"/>
        <v>10.081595436869039</v>
      </c>
      <c r="O161" s="77">
        <f t="shared" si="43"/>
        <v>5.2757942253367309</v>
      </c>
      <c r="P161" s="77">
        <f t="shared" si="44"/>
        <v>8.1702683321647633</v>
      </c>
      <c r="Q161" s="77">
        <f t="shared" si="45"/>
        <v>5.3525235682803203</v>
      </c>
      <c r="R161" s="77">
        <f t="shared" si="46"/>
        <v>3.4824046206324573</v>
      </c>
      <c r="S161" s="77">
        <f t="shared" si="47"/>
        <v>2.6149763043958765</v>
      </c>
    </row>
    <row r="162" spans="1:19" ht="14.25" x14ac:dyDescent="0.2">
      <c r="A162" s="79">
        <v>152</v>
      </c>
      <c r="B162" s="78">
        <v>633</v>
      </c>
      <c r="C162" s="77">
        <f t="shared" si="32"/>
        <v>31.844661820337805</v>
      </c>
      <c r="D162" s="77">
        <f t="shared" si="33"/>
        <v>19.215808587255985</v>
      </c>
      <c r="E162" s="77">
        <f t="shared" si="34"/>
        <v>10.577671869804787</v>
      </c>
      <c r="F162" s="77">
        <f t="shared" si="35"/>
        <v>6.809444192717705</v>
      </c>
      <c r="G162" s="77">
        <f t="shared" si="36"/>
        <v>4.4505803541741633</v>
      </c>
      <c r="H162" s="77">
        <f t="shared" si="37"/>
        <v>2.8112845963588526</v>
      </c>
      <c r="I162" s="77">
        <f t="shared" si="38"/>
        <v>2.2215686367229668</v>
      </c>
      <c r="J162" s="77">
        <f t="shared" si="39"/>
        <v>1.4019207578153114</v>
      </c>
      <c r="K162" s="272">
        <f>+B162*(('Step 2 - Transformer Sizing'!$R$22*0.9)+('Step 2 - Transformer Sizing'!$R$23*SIN(ACOS(0.9))))/240*100</f>
        <v>0</v>
      </c>
      <c r="L162" s="77">
        <f t="shared" si="40"/>
        <v>24.698349842659006</v>
      </c>
      <c r="M162" s="77">
        <f t="shared" si="41"/>
        <v>15.74085937396096</v>
      </c>
      <c r="N162" s="77">
        <f t="shared" si="42"/>
        <v>10.145707331539112</v>
      </c>
      <c r="O162" s="77">
        <f t="shared" si="43"/>
        <v>5.3093445860701927</v>
      </c>
      <c r="P162" s="77">
        <f t="shared" si="44"/>
        <v>8.2222255234662889</v>
      </c>
      <c r="Q162" s="77">
        <f t="shared" si="45"/>
        <v>5.3865618739609582</v>
      </c>
      <c r="R162" s="77">
        <f t="shared" si="46"/>
        <v>3.5045502779973687</v>
      </c>
      <c r="S162" s="77">
        <f t="shared" si="47"/>
        <v>2.6316057244556275</v>
      </c>
    </row>
    <row r="163" spans="1:19" ht="14.25" x14ac:dyDescent="0.2">
      <c r="A163" s="79">
        <v>153</v>
      </c>
      <c r="B163" s="78">
        <v>638</v>
      </c>
      <c r="C163" s="77">
        <f t="shared" si="32"/>
        <v>32.096199433452639</v>
      </c>
      <c r="D163" s="77">
        <f t="shared" si="33"/>
        <v>19.36759222538597</v>
      </c>
      <c r="E163" s="77">
        <f t="shared" si="34"/>
        <v>10.661223780308775</v>
      </c>
      <c r="F163" s="77">
        <f t="shared" si="35"/>
        <v>6.8632312716491244</v>
      </c>
      <c r="G163" s="77">
        <f t="shared" si="36"/>
        <v>4.4857350173192989</v>
      </c>
      <c r="H163" s="77">
        <f t="shared" si="37"/>
        <v>2.8334906358245626</v>
      </c>
      <c r="I163" s="77">
        <f t="shared" si="38"/>
        <v>2.2391165722421058</v>
      </c>
      <c r="J163" s="77">
        <f t="shared" si="39"/>
        <v>1.4129943814947372</v>
      </c>
      <c r="K163" s="272">
        <f>+B163*(('Step 2 - Transformer Sizing'!$R$22*0.9)+('Step 2 - Transformer Sizing'!$R$23*SIN(ACOS(0.9))))/240*100</f>
        <v>0</v>
      </c>
      <c r="L163" s="77">
        <f t="shared" si="40"/>
        <v>24.893439493864847</v>
      </c>
      <c r="M163" s="77">
        <f t="shared" si="41"/>
        <v>15.865194756061756</v>
      </c>
      <c r="N163" s="77">
        <f t="shared" si="42"/>
        <v>10.225847199876705</v>
      </c>
      <c r="O163" s="77">
        <f t="shared" si="43"/>
        <v>5.3512825369870187</v>
      </c>
      <c r="P163" s="77">
        <f t="shared" si="44"/>
        <v>8.287172012593194</v>
      </c>
      <c r="Q163" s="77">
        <f t="shared" si="45"/>
        <v>5.4291097560617549</v>
      </c>
      <c r="R163" s="77">
        <f t="shared" si="46"/>
        <v>3.5322323497035097</v>
      </c>
      <c r="S163" s="77">
        <f t="shared" si="47"/>
        <v>2.6523924995303165</v>
      </c>
    </row>
    <row r="164" spans="1:19" ht="14.25" x14ac:dyDescent="0.2">
      <c r="A164" s="79">
        <v>154</v>
      </c>
      <c r="B164" s="78">
        <v>642</v>
      </c>
      <c r="C164" s="77">
        <f t="shared" si="32"/>
        <v>32.297429523944501</v>
      </c>
      <c r="D164" s="77">
        <f t="shared" si="33"/>
        <v>19.489019135889954</v>
      </c>
      <c r="E164" s="77">
        <f t="shared" si="34"/>
        <v>10.728065308711964</v>
      </c>
      <c r="F164" s="77">
        <f t="shared" si="35"/>
        <v>6.9062609347942585</v>
      </c>
      <c r="G164" s="77">
        <f t="shared" si="36"/>
        <v>4.5138587478354069</v>
      </c>
      <c r="H164" s="77">
        <f t="shared" si="37"/>
        <v>2.85125546739713</v>
      </c>
      <c r="I164" s="77">
        <f t="shared" si="38"/>
        <v>2.2531549206574168</v>
      </c>
      <c r="J164" s="77">
        <f t="shared" si="39"/>
        <v>1.4218532804382782</v>
      </c>
      <c r="K164" s="272">
        <f>+B164*(('Step 2 - Transformer Sizing'!$R$22*0.9)+('Step 2 - Transformer Sizing'!$R$23*SIN(ACOS(0.9))))/240*100</f>
        <v>0</v>
      </c>
      <c r="L164" s="77">
        <f t="shared" si="40"/>
        <v>25.049511214829518</v>
      </c>
      <c r="M164" s="77">
        <f t="shared" si="41"/>
        <v>15.964663061742396</v>
      </c>
      <c r="N164" s="77">
        <f t="shared" si="42"/>
        <v>10.289959094546777</v>
      </c>
      <c r="O164" s="77">
        <f t="shared" si="43"/>
        <v>5.3848328977204796</v>
      </c>
      <c r="P164" s="77">
        <f t="shared" si="44"/>
        <v>8.3391292038947196</v>
      </c>
      <c r="Q164" s="77">
        <f t="shared" si="45"/>
        <v>5.4631480617423938</v>
      </c>
      <c r="R164" s="77">
        <f t="shared" si="46"/>
        <v>3.5543780070684221</v>
      </c>
      <c r="S164" s="77">
        <f t="shared" si="47"/>
        <v>2.669021919590068</v>
      </c>
    </row>
    <row r="165" spans="1:19" ht="14.25" x14ac:dyDescent="0.2">
      <c r="A165" s="79">
        <v>155</v>
      </c>
      <c r="B165" s="78">
        <v>646</v>
      </c>
      <c r="C165" s="77">
        <f t="shared" si="32"/>
        <v>32.49865961443637</v>
      </c>
      <c r="D165" s="77">
        <f t="shared" si="33"/>
        <v>19.610446046393943</v>
      </c>
      <c r="E165" s="77">
        <f t="shared" si="34"/>
        <v>10.794906837115153</v>
      </c>
      <c r="F165" s="77">
        <f t="shared" si="35"/>
        <v>6.9492905979393962</v>
      </c>
      <c r="G165" s="77">
        <f t="shared" si="36"/>
        <v>4.5419824783515157</v>
      </c>
      <c r="H165" s="77">
        <f t="shared" si="37"/>
        <v>2.8690202989696978</v>
      </c>
      <c r="I165" s="77">
        <f t="shared" si="38"/>
        <v>2.2671932690727274</v>
      </c>
      <c r="J165" s="77">
        <f t="shared" si="39"/>
        <v>1.4307121793818187</v>
      </c>
      <c r="K165" s="272">
        <f>+B165*(('Step 2 - Transformer Sizing'!$R$22*0.9)+('Step 2 - Transformer Sizing'!$R$23*SIN(ACOS(0.9))))/240*100</f>
        <v>0</v>
      </c>
      <c r="L165" s="77">
        <f t="shared" si="40"/>
        <v>25.205582935794187</v>
      </c>
      <c r="M165" s="77">
        <f t="shared" si="41"/>
        <v>16.06413136742303</v>
      </c>
      <c r="N165" s="77">
        <f t="shared" si="42"/>
        <v>10.354070989216851</v>
      </c>
      <c r="O165" s="77">
        <f t="shared" si="43"/>
        <v>5.4183832584539404</v>
      </c>
      <c r="P165" s="77">
        <f t="shared" si="44"/>
        <v>8.3910863951962433</v>
      </c>
      <c r="Q165" s="77">
        <f t="shared" si="45"/>
        <v>5.4971863674230317</v>
      </c>
      <c r="R165" s="77">
        <f t="shared" si="46"/>
        <v>3.5765236644333336</v>
      </c>
      <c r="S165" s="77">
        <f t="shared" si="47"/>
        <v>2.6856513396498185</v>
      </c>
    </row>
    <row r="166" spans="1:19" ht="14.25" x14ac:dyDescent="0.2">
      <c r="A166" s="79">
        <v>156</v>
      </c>
      <c r="B166" s="78">
        <v>650</v>
      </c>
      <c r="C166" s="77">
        <f t="shared" si="32"/>
        <v>32.699889704928239</v>
      </c>
      <c r="D166" s="77">
        <f t="shared" si="33"/>
        <v>19.731872956897927</v>
      </c>
      <c r="E166" s="77">
        <f t="shared" si="34"/>
        <v>10.861748365518343</v>
      </c>
      <c r="F166" s="77">
        <f t="shared" si="35"/>
        <v>6.9923202610845321</v>
      </c>
      <c r="G166" s="77">
        <f t="shared" si="36"/>
        <v>4.5701062088676236</v>
      </c>
      <c r="H166" s="77">
        <f t="shared" si="37"/>
        <v>2.8867851305422652</v>
      </c>
      <c r="I166" s="77">
        <f t="shared" si="38"/>
        <v>2.2812316174880385</v>
      </c>
      <c r="J166" s="77">
        <f t="shared" si="39"/>
        <v>1.4395710783253595</v>
      </c>
      <c r="K166" s="272">
        <f>+B166*(('Step 2 - Transformer Sizing'!$R$22*0.9)+('Step 2 - Transformer Sizing'!$R$23*SIN(ACOS(0.9))))/240*100</f>
        <v>0</v>
      </c>
      <c r="L166" s="77">
        <f t="shared" si="40"/>
        <v>25.361654656758851</v>
      </c>
      <c r="M166" s="77">
        <f t="shared" si="41"/>
        <v>16.163599673103672</v>
      </c>
      <c r="N166" s="77">
        <f t="shared" si="42"/>
        <v>10.418182883886924</v>
      </c>
      <c r="O166" s="77">
        <f t="shared" si="43"/>
        <v>5.4519336191874013</v>
      </c>
      <c r="P166" s="77">
        <f t="shared" si="44"/>
        <v>8.4430435864977689</v>
      </c>
      <c r="Q166" s="77">
        <f t="shared" si="45"/>
        <v>5.5312246731036696</v>
      </c>
      <c r="R166" s="77">
        <f t="shared" si="46"/>
        <v>3.5986693217982459</v>
      </c>
      <c r="S166" s="77">
        <f t="shared" si="47"/>
        <v>2.7022807597095699</v>
      </c>
    </row>
    <row r="167" spans="1:19" ht="14.25" x14ac:dyDescent="0.2">
      <c r="A167" s="79">
        <v>157</v>
      </c>
      <c r="B167" s="78">
        <v>654</v>
      </c>
      <c r="C167" s="77">
        <f t="shared" si="32"/>
        <v>32.901119795420101</v>
      </c>
      <c r="D167" s="77">
        <f t="shared" si="33"/>
        <v>19.853299867401915</v>
      </c>
      <c r="E167" s="77">
        <f t="shared" si="34"/>
        <v>10.928589893921533</v>
      </c>
      <c r="F167" s="77">
        <f t="shared" si="35"/>
        <v>7.0353499242296671</v>
      </c>
      <c r="G167" s="77">
        <f t="shared" si="36"/>
        <v>4.5982299393837325</v>
      </c>
      <c r="H167" s="77">
        <f t="shared" si="37"/>
        <v>2.9045499621148334</v>
      </c>
      <c r="I167" s="77">
        <f t="shared" si="38"/>
        <v>2.29526996590335</v>
      </c>
      <c r="J167" s="77">
        <f t="shared" si="39"/>
        <v>1.4484299772689</v>
      </c>
      <c r="K167" s="272">
        <f>+B167*(('Step 2 - Transformer Sizing'!$R$22*0.9)+('Step 2 - Transformer Sizing'!$R$23*SIN(ACOS(0.9))))/240*100</f>
        <v>0</v>
      </c>
      <c r="L167" s="77">
        <f t="shared" si="40"/>
        <v>25.517726377723527</v>
      </c>
      <c r="M167" s="77">
        <f t="shared" si="41"/>
        <v>16.26306797878431</v>
      </c>
      <c r="N167" s="77">
        <f t="shared" si="42"/>
        <v>10.482294778556996</v>
      </c>
      <c r="O167" s="77">
        <f t="shared" si="43"/>
        <v>5.4854839799208621</v>
      </c>
      <c r="P167" s="77">
        <f t="shared" si="44"/>
        <v>8.4950007777992944</v>
      </c>
      <c r="Q167" s="77">
        <f t="shared" si="45"/>
        <v>5.5652629787843066</v>
      </c>
      <c r="R167" s="77">
        <f t="shared" si="46"/>
        <v>3.6208149791631583</v>
      </c>
      <c r="S167" s="77">
        <f t="shared" si="47"/>
        <v>2.7189101797693214</v>
      </c>
    </row>
    <row r="168" spans="1:19" ht="14.25" x14ac:dyDescent="0.2">
      <c r="A168" s="79">
        <v>158</v>
      </c>
      <c r="B168" s="78">
        <v>658</v>
      </c>
      <c r="C168" s="77">
        <f t="shared" si="32"/>
        <v>33.102349885911963</v>
      </c>
      <c r="D168" s="77">
        <f t="shared" si="33"/>
        <v>19.974726777905907</v>
      </c>
      <c r="E168" s="77">
        <f t="shared" si="34"/>
        <v>10.995431422324724</v>
      </c>
      <c r="F168" s="77">
        <f t="shared" si="35"/>
        <v>7.078379587374803</v>
      </c>
      <c r="G168" s="77">
        <f t="shared" si="36"/>
        <v>4.6263536698998413</v>
      </c>
      <c r="H168" s="77">
        <f t="shared" si="37"/>
        <v>2.9223147936874012</v>
      </c>
      <c r="I168" s="77">
        <f t="shared" si="38"/>
        <v>2.3093083143186606</v>
      </c>
      <c r="J168" s="77">
        <f t="shared" si="39"/>
        <v>1.4572888762124405</v>
      </c>
      <c r="K168" s="272">
        <f>+B168*(('Step 2 - Transformer Sizing'!$R$22*0.9)+('Step 2 - Transformer Sizing'!$R$23*SIN(ACOS(0.9))))/240*100</f>
        <v>0</v>
      </c>
      <c r="L168" s="77">
        <f t="shared" si="40"/>
        <v>25.673798098688195</v>
      </c>
      <c r="M168" s="77">
        <f t="shared" si="41"/>
        <v>16.362536284464948</v>
      </c>
      <c r="N168" s="77">
        <f t="shared" si="42"/>
        <v>10.54640667322707</v>
      </c>
      <c r="O168" s="77">
        <f t="shared" si="43"/>
        <v>5.519034340654323</v>
      </c>
      <c r="P168" s="77">
        <f t="shared" si="44"/>
        <v>8.5469579691008164</v>
      </c>
      <c r="Q168" s="77">
        <f t="shared" si="45"/>
        <v>5.5993012844649446</v>
      </c>
      <c r="R168" s="77">
        <f t="shared" si="46"/>
        <v>3.6429606365280707</v>
      </c>
      <c r="S168" s="77">
        <f t="shared" si="47"/>
        <v>2.7355395998290724</v>
      </c>
    </row>
    <row r="169" spans="1:19" ht="14.25" x14ac:dyDescent="0.2">
      <c r="A169" s="79">
        <v>159</v>
      </c>
      <c r="B169" s="78">
        <v>663</v>
      </c>
      <c r="C169" s="77">
        <f t="shared" si="32"/>
        <v>33.353887499026797</v>
      </c>
      <c r="D169" s="77">
        <f t="shared" si="33"/>
        <v>20.126510416035888</v>
      </c>
      <c r="E169" s="77">
        <f t="shared" si="34"/>
        <v>11.078983332828711</v>
      </c>
      <c r="F169" s="77">
        <f t="shared" si="35"/>
        <v>7.1321666663062224</v>
      </c>
      <c r="G169" s="77">
        <f t="shared" si="36"/>
        <v>4.6615083330449769</v>
      </c>
      <c r="H169" s="77">
        <f t="shared" si="37"/>
        <v>2.9445208331531103</v>
      </c>
      <c r="I169" s="77">
        <f t="shared" si="38"/>
        <v>2.3268562498377996</v>
      </c>
      <c r="J169" s="77">
        <f t="shared" si="39"/>
        <v>1.4683624998918665</v>
      </c>
      <c r="K169" s="272">
        <f>+B169*(('Step 2 - Transformer Sizing'!$R$22*0.9)+('Step 2 - Transformer Sizing'!$R$23*SIN(ACOS(0.9))))/240*100</f>
        <v>0</v>
      </c>
      <c r="L169" s="77">
        <f t="shared" si="40"/>
        <v>25.868887749894032</v>
      </c>
      <c r="M169" s="77">
        <f t="shared" si="41"/>
        <v>16.486871666565744</v>
      </c>
      <c r="N169" s="77">
        <f t="shared" si="42"/>
        <v>10.626546541564661</v>
      </c>
      <c r="O169" s="77">
        <f t="shared" si="43"/>
        <v>5.560972291571149</v>
      </c>
      <c r="P169" s="77">
        <f t="shared" si="44"/>
        <v>8.6119044582277251</v>
      </c>
      <c r="Q169" s="77">
        <f t="shared" si="45"/>
        <v>5.6418491665657422</v>
      </c>
      <c r="R169" s="77">
        <f t="shared" si="46"/>
        <v>3.6706427082342112</v>
      </c>
      <c r="S169" s="77">
        <f t="shared" si="47"/>
        <v>2.7563263749037614</v>
      </c>
    </row>
    <row r="170" spans="1:19" ht="14.25" x14ac:dyDescent="0.2">
      <c r="A170" s="79">
        <v>160</v>
      </c>
      <c r="B170" s="78">
        <v>667</v>
      </c>
      <c r="C170" s="77">
        <f t="shared" si="32"/>
        <v>33.555117589518666</v>
      </c>
      <c r="D170" s="77">
        <f t="shared" si="33"/>
        <v>20.247937326539876</v>
      </c>
      <c r="E170" s="77">
        <f t="shared" si="34"/>
        <v>11.145824861231901</v>
      </c>
      <c r="F170" s="77">
        <f t="shared" si="35"/>
        <v>7.1751963294513583</v>
      </c>
      <c r="G170" s="77">
        <f t="shared" si="36"/>
        <v>4.6896320635610858</v>
      </c>
      <c r="H170" s="77">
        <f t="shared" si="37"/>
        <v>2.9622856647256786</v>
      </c>
      <c r="I170" s="77">
        <f t="shared" si="38"/>
        <v>2.3408945982531106</v>
      </c>
      <c r="J170" s="77">
        <f t="shared" si="39"/>
        <v>1.4772213988354073</v>
      </c>
      <c r="K170" s="272">
        <f>+B170*(('Step 2 - Transformer Sizing'!$R$22*0.9)+('Step 2 - Transformer Sizing'!$R$23*SIN(ACOS(0.9))))/240*100</f>
        <v>0</v>
      </c>
      <c r="L170" s="77">
        <f t="shared" si="40"/>
        <v>26.0249594708587</v>
      </c>
      <c r="M170" s="77">
        <f t="shared" si="41"/>
        <v>16.586339972246382</v>
      </c>
      <c r="N170" s="77">
        <f t="shared" si="42"/>
        <v>10.690658436234736</v>
      </c>
      <c r="O170" s="77">
        <f t="shared" si="43"/>
        <v>5.5945226523046099</v>
      </c>
      <c r="P170" s="77">
        <f t="shared" si="44"/>
        <v>8.6638616495292489</v>
      </c>
      <c r="Q170" s="77">
        <f t="shared" si="45"/>
        <v>5.6758874722463801</v>
      </c>
      <c r="R170" s="77">
        <f t="shared" si="46"/>
        <v>3.6927883655991236</v>
      </c>
      <c r="S170" s="77">
        <f t="shared" si="47"/>
        <v>2.7729557949635124</v>
      </c>
    </row>
    <row r="171" spans="1:19" ht="14.25" x14ac:dyDescent="0.2">
      <c r="A171" s="79">
        <v>161</v>
      </c>
      <c r="B171" s="78">
        <v>671</v>
      </c>
      <c r="C171" s="77">
        <f t="shared" si="32"/>
        <v>33.756347680010535</v>
      </c>
      <c r="D171" s="77">
        <f t="shared" si="33"/>
        <v>20.369364237043865</v>
      </c>
      <c r="E171" s="77">
        <f t="shared" si="34"/>
        <v>11.212666389635091</v>
      </c>
      <c r="F171" s="77">
        <f t="shared" si="35"/>
        <v>7.2182259925964924</v>
      </c>
      <c r="G171" s="77">
        <f t="shared" si="36"/>
        <v>4.7177557940771937</v>
      </c>
      <c r="H171" s="77">
        <f t="shared" si="37"/>
        <v>2.9800504962982464</v>
      </c>
      <c r="I171" s="77">
        <f t="shared" si="38"/>
        <v>2.3549329466684217</v>
      </c>
      <c r="J171" s="77">
        <f t="shared" si="39"/>
        <v>1.4860802977789478</v>
      </c>
      <c r="K171" s="272">
        <f>+B171*(('Step 2 - Transformer Sizing'!$R$22*0.9)+('Step 2 - Transformer Sizing'!$R$23*SIN(ACOS(0.9))))/240*100</f>
        <v>0</v>
      </c>
      <c r="L171" s="77">
        <f t="shared" si="40"/>
        <v>26.181031191823372</v>
      </c>
      <c r="M171" s="77">
        <f t="shared" si="41"/>
        <v>16.68580827792702</v>
      </c>
      <c r="N171" s="77">
        <f t="shared" si="42"/>
        <v>10.75477033090481</v>
      </c>
      <c r="O171" s="77">
        <f t="shared" si="43"/>
        <v>5.6280730130380707</v>
      </c>
      <c r="P171" s="77">
        <f t="shared" si="44"/>
        <v>8.7158188408307726</v>
      </c>
      <c r="Q171" s="77">
        <f t="shared" si="45"/>
        <v>5.7099257779270181</v>
      </c>
      <c r="R171" s="77">
        <f t="shared" si="46"/>
        <v>3.714934022964036</v>
      </c>
      <c r="S171" s="77">
        <f t="shared" si="47"/>
        <v>2.7895852150232638</v>
      </c>
    </row>
    <row r="172" spans="1:19" ht="14.25" x14ac:dyDescent="0.2">
      <c r="A172" s="79">
        <v>162</v>
      </c>
      <c r="B172" s="78">
        <v>675</v>
      </c>
      <c r="C172" s="77">
        <f t="shared" si="32"/>
        <v>33.957577770502397</v>
      </c>
      <c r="D172" s="77">
        <f t="shared" si="33"/>
        <v>20.490791147547853</v>
      </c>
      <c r="E172" s="77">
        <f t="shared" si="34"/>
        <v>11.279507918038281</v>
      </c>
      <c r="F172" s="77">
        <f t="shared" si="35"/>
        <v>7.2612556557416292</v>
      </c>
      <c r="G172" s="77">
        <f t="shared" si="36"/>
        <v>4.7458795245933025</v>
      </c>
      <c r="H172" s="77">
        <f t="shared" si="37"/>
        <v>2.9978153278708142</v>
      </c>
      <c r="I172" s="77">
        <f t="shared" si="38"/>
        <v>2.3689712950837327</v>
      </c>
      <c r="J172" s="77">
        <f t="shared" si="39"/>
        <v>1.4949391967224885</v>
      </c>
      <c r="K172" s="272">
        <f>+B172*(('Step 2 - Transformer Sizing'!$R$22*0.9)+('Step 2 - Transformer Sizing'!$R$23*SIN(ACOS(0.9))))/240*100</f>
        <v>0</v>
      </c>
      <c r="L172" s="77">
        <f t="shared" si="40"/>
        <v>26.33710291278804</v>
      </c>
      <c r="M172" s="77">
        <f t="shared" si="41"/>
        <v>16.785276583607658</v>
      </c>
      <c r="N172" s="77">
        <f t="shared" si="42"/>
        <v>10.818882225574884</v>
      </c>
      <c r="O172" s="77">
        <f t="shared" si="43"/>
        <v>5.6616233737715316</v>
      </c>
      <c r="P172" s="77">
        <f t="shared" si="44"/>
        <v>8.7677760321322982</v>
      </c>
      <c r="Q172" s="77">
        <f t="shared" si="45"/>
        <v>5.743964083607656</v>
      </c>
      <c r="R172" s="77">
        <f t="shared" si="46"/>
        <v>3.7370796803289483</v>
      </c>
      <c r="S172" s="77">
        <f t="shared" si="47"/>
        <v>2.8062146350830148</v>
      </c>
    </row>
    <row r="173" spans="1:19" ht="14.25" x14ac:dyDescent="0.2">
      <c r="A173" s="79">
        <v>163</v>
      </c>
      <c r="B173" s="78">
        <v>679</v>
      </c>
      <c r="C173" s="77">
        <f t="shared" si="32"/>
        <v>34.158807860994258</v>
      </c>
      <c r="D173" s="77">
        <f t="shared" si="33"/>
        <v>20.612218058051837</v>
      </c>
      <c r="E173" s="77">
        <f t="shared" si="34"/>
        <v>11.34634944644147</v>
      </c>
      <c r="F173" s="77">
        <f t="shared" si="35"/>
        <v>7.3042853188867634</v>
      </c>
      <c r="G173" s="77">
        <f t="shared" si="36"/>
        <v>4.7740032551094114</v>
      </c>
      <c r="H173" s="77">
        <f t="shared" si="37"/>
        <v>3.015580159443382</v>
      </c>
      <c r="I173" s="77">
        <f t="shared" si="38"/>
        <v>2.3830096434990438</v>
      </c>
      <c r="J173" s="77">
        <f t="shared" si="39"/>
        <v>1.5037980956660293</v>
      </c>
      <c r="K173" s="272">
        <f>+B173*(('Step 2 - Transformer Sizing'!$R$22*0.9)+('Step 2 - Transformer Sizing'!$R$23*SIN(ACOS(0.9))))/240*100</f>
        <v>0</v>
      </c>
      <c r="L173" s="77">
        <f t="shared" si="40"/>
        <v>26.493174633752709</v>
      </c>
      <c r="M173" s="77">
        <f t="shared" si="41"/>
        <v>16.884744889288296</v>
      </c>
      <c r="N173" s="77">
        <f t="shared" si="42"/>
        <v>10.882994120244955</v>
      </c>
      <c r="O173" s="77">
        <f t="shared" si="43"/>
        <v>5.6951737345049924</v>
      </c>
      <c r="P173" s="77">
        <f t="shared" si="44"/>
        <v>8.8197332234338219</v>
      </c>
      <c r="Q173" s="77">
        <f t="shared" si="45"/>
        <v>5.7780023892882939</v>
      </c>
      <c r="R173" s="77">
        <f t="shared" si="46"/>
        <v>3.7592253376938602</v>
      </c>
      <c r="S173" s="77">
        <f t="shared" si="47"/>
        <v>2.8228440551427663</v>
      </c>
    </row>
    <row r="174" spans="1:19" ht="14.25" x14ac:dyDescent="0.2">
      <c r="A174" s="79">
        <v>164</v>
      </c>
      <c r="B174" s="78">
        <v>683</v>
      </c>
      <c r="C174" s="77">
        <f t="shared" si="32"/>
        <v>34.360037951486134</v>
      </c>
      <c r="D174" s="77">
        <f t="shared" si="33"/>
        <v>20.733644968555826</v>
      </c>
      <c r="E174" s="77">
        <f t="shared" si="34"/>
        <v>11.41319097484466</v>
      </c>
      <c r="F174" s="77">
        <f t="shared" si="35"/>
        <v>7.3473149820318993</v>
      </c>
      <c r="G174" s="77">
        <f t="shared" si="36"/>
        <v>4.8021269856255193</v>
      </c>
      <c r="H174" s="77">
        <f t="shared" si="37"/>
        <v>3.0333449910159498</v>
      </c>
      <c r="I174" s="77">
        <f t="shared" si="38"/>
        <v>2.3970479919143544</v>
      </c>
      <c r="J174" s="77">
        <f t="shared" si="39"/>
        <v>1.51265699460957</v>
      </c>
      <c r="K174" s="272">
        <f>+B174*(('Step 2 - Transformer Sizing'!$R$22*0.9)+('Step 2 - Transformer Sizing'!$R$23*SIN(ACOS(0.9))))/240*100</f>
        <v>0</v>
      </c>
      <c r="L174" s="77">
        <f t="shared" si="40"/>
        <v>26.649246354717381</v>
      </c>
      <c r="M174" s="77">
        <f t="shared" si="41"/>
        <v>16.984213194968937</v>
      </c>
      <c r="N174" s="77">
        <f t="shared" si="42"/>
        <v>10.947106014915029</v>
      </c>
      <c r="O174" s="77">
        <f t="shared" si="43"/>
        <v>5.7287240952384542</v>
      </c>
      <c r="P174" s="77">
        <f t="shared" si="44"/>
        <v>8.8716904147353475</v>
      </c>
      <c r="Q174" s="77">
        <f t="shared" si="45"/>
        <v>5.8120406949689318</v>
      </c>
      <c r="R174" s="77">
        <f t="shared" si="46"/>
        <v>3.7813709950587726</v>
      </c>
      <c r="S174" s="77">
        <f t="shared" si="47"/>
        <v>2.8394734752025177</v>
      </c>
    </row>
    <row r="175" spans="1:19" ht="14.25" x14ac:dyDescent="0.2">
      <c r="A175" s="79">
        <v>165</v>
      </c>
      <c r="B175" s="78">
        <v>688</v>
      </c>
      <c r="C175" s="77">
        <f t="shared" si="32"/>
        <v>34.611575564600969</v>
      </c>
      <c r="D175" s="77">
        <f t="shared" si="33"/>
        <v>20.88542860668581</v>
      </c>
      <c r="E175" s="77">
        <f t="shared" si="34"/>
        <v>11.496742885348647</v>
      </c>
      <c r="F175" s="77">
        <f t="shared" si="35"/>
        <v>7.4011020609633187</v>
      </c>
      <c r="G175" s="77">
        <f t="shared" si="36"/>
        <v>4.8372816487706549</v>
      </c>
      <c r="H175" s="77">
        <f t="shared" si="37"/>
        <v>3.0555510304816593</v>
      </c>
      <c r="I175" s="77">
        <f t="shared" si="38"/>
        <v>2.4145959274334934</v>
      </c>
      <c r="J175" s="77">
        <f t="shared" si="39"/>
        <v>1.5237306182889958</v>
      </c>
      <c r="K175" s="272">
        <f>+B175*(('Step 2 - Transformer Sizing'!$R$22*0.9)+('Step 2 - Transformer Sizing'!$R$23*SIN(ACOS(0.9))))/240*100</f>
        <v>0</v>
      </c>
      <c r="L175" s="77">
        <f t="shared" si="40"/>
        <v>26.844336005923214</v>
      </c>
      <c r="M175" s="77">
        <f t="shared" si="41"/>
        <v>17.108548577069733</v>
      </c>
      <c r="N175" s="77">
        <f t="shared" si="42"/>
        <v>11.02724588325262</v>
      </c>
      <c r="O175" s="77">
        <f t="shared" si="43"/>
        <v>5.7706620461552802</v>
      </c>
      <c r="P175" s="77">
        <f t="shared" si="44"/>
        <v>8.9366369038622544</v>
      </c>
      <c r="Q175" s="77">
        <f t="shared" si="45"/>
        <v>5.8545885770697295</v>
      </c>
      <c r="R175" s="77">
        <f t="shared" si="46"/>
        <v>3.8090530667649127</v>
      </c>
      <c r="S175" s="77">
        <f t="shared" si="47"/>
        <v>2.8602602502772063</v>
      </c>
    </row>
    <row r="176" spans="1:19" ht="14.25" x14ac:dyDescent="0.2">
      <c r="A176" s="79">
        <v>166</v>
      </c>
      <c r="B176" s="78">
        <v>692</v>
      </c>
      <c r="C176" s="77">
        <f t="shared" si="32"/>
        <v>34.812805655092824</v>
      </c>
      <c r="D176" s="77">
        <f t="shared" si="33"/>
        <v>21.006855517189795</v>
      </c>
      <c r="E176" s="77">
        <f t="shared" si="34"/>
        <v>11.563584413751835</v>
      </c>
      <c r="F176" s="77">
        <f t="shared" si="35"/>
        <v>7.4441317241084546</v>
      </c>
      <c r="G176" s="77">
        <f t="shared" si="36"/>
        <v>4.8654053792867629</v>
      </c>
      <c r="H176" s="77">
        <f t="shared" si="37"/>
        <v>3.0733158620542276</v>
      </c>
      <c r="I176" s="77">
        <f t="shared" si="38"/>
        <v>2.4286342758488044</v>
      </c>
      <c r="J176" s="77">
        <f t="shared" si="39"/>
        <v>1.5325895172325363</v>
      </c>
      <c r="K176" s="272">
        <f>+B176*(('Step 2 - Transformer Sizing'!$R$22*0.9)+('Step 2 - Transformer Sizing'!$R$23*SIN(ACOS(0.9))))/240*100</f>
        <v>0</v>
      </c>
      <c r="L176" s="77">
        <f t="shared" si="40"/>
        <v>27.000407726887886</v>
      </c>
      <c r="M176" s="77">
        <f t="shared" si="41"/>
        <v>17.208016882750371</v>
      </c>
      <c r="N176" s="77">
        <f t="shared" si="42"/>
        <v>11.091357777922696</v>
      </c>
      <c r="O176" s="77">
        <f t="shared" si="43"/>
        <v>5.8042124068887411</v>
      </c>
      <c r="P176" s="77">
        <f t="shared" si="44"/>
        <v>8.9885940951637782</v>
      </c>
      <c r="Q176" s="77">
        <f t="shared" si="45"/>
        <v>5.8886268827503674</v>
      </c>
      <c r="R176" s="77">
        <f t="shared" si="46"/>
        <v>3.8311987241298251</v>
      </c>
      <c r="S176" s="77">
        <f t="shared" si="47"/>
        <v>2.8768896703369577</v>
      </c>
    </row>
    <row r="177" spans="1:19" ht="14.25" x14ac:dyDescent="0.2">
      <c r="A177" s="79">
        <v>167</v>
      </c>
      <c r="B177" s="78">
        <v>696</v>
      </c>
      <c r="C177" s="77">
        <f t="shared" si="32"/>
        <v>35.014035745584692</v>
      </c>
      <c r="D177" s="77">
        <f t="shared" si="33"/>
        <v>21.128282427693783</v>
      </c>
      <c r="E177" s="77">
        <f t="shared" si="34"/>
        <v>11.630425942155027</v>
      </c>
      <c r="F177" s="77">
        <f t="shared" si="35"/>
        <v>7.4871613872535896</v>
      </c>
      <c r="G177" s="77">
        <f t="shared" si="36"/>
        <v>4.8935291098028717</v>
      </c>
      <c r="H177" s="77">
        <f t="shared" si="37"/>
        <v>3.0910806936267949</v>
      </c>
      <c r="I177" s="77">
        <f t="shared" si="38"/>
        <v>2.4426726242641155</v>
      </c>
      <c r="J177" s="77">
        <f t="shared" si="39"/>
        <v>1.5414484161760773</v>
      </c>
      <c r="K177" s="272">
        <f>+B177*(('Step 2 - Transformer Sizing'!$R$22*0.9)+('Step 2 - Transformer Sizing'!$R$23*SIN(ACOS(0.9))))/240*100</f>
        <v>0</v>
      </c>
      <c r="L177" s="77">
        <f t="shared" si="40"/>
        <v>27.156479447852554</v>
      </c>
      <c r="M177" s="77">
        <f t="shared" si="41"/>
        <v>17.307485188431006</v>
      </c>
      <c r="N177" s="77">
        <f t="shared" si="42"/>
        <v>11.155469672592769</v>
      </c>
      <c r="O177" s="77">
        <f t="shared" si="43"/>
        <v>5.8377627676222019</v>
      </c>
      <c r="P177" s="77">
        <f t="shared" si="44"/>
        <v>9.0405512864653037</v>
      </c>
      <c r="Q177" s="77">
        <f t="shared" si="45"/>
        <v>5.9226651884310062</v>
      </c>
      <c r="R177" s="77">
        <f t="shared" si="46"/>
        <v>3.8533443814947375</v>
      </c>
      <c r="S177" s="77">
        <f t="shared" si="47"/>
        <v>2.8935190903967087</v>
      </c>
    </row>
    <row r="178" spans="1:19" ht="14.25" x14ac:dyDescent="0.2">
      <c r="A178" s="79">
        <v>168</v>
      </c>
      <c r="B178" s="78">
        <v>700</v>
      </c>
      <c r="C178" s="77">
        <f t="shared" si="32"/>
        <v>35.215265836076561</v>
      </c>
      <c r="D178" s="77">
        <f t="shared" si="33"/>
        <v>21.249709338197771</v>
      </c>
      <c r="E178" s="77">
        <f t="shared" si="34"/>
        <v>11.697267470558216</v>
      </c>
      <c r="F178" s="77">
        <f t="shared" si="35"/>
        <v>7.5301910503987255</v>
      </c>
      <c r="G178" s="77">
        <f t="shared" si="36"/>
        <v>4.9216528403189805</v>
      </c>
      <c r="H178" s="77">
        <f t="shared" si="37"/>
        <v>3.1088455251993627</v>
      </c>
      <c r="I178" s="77">
        <f t="shared" si="38"/>
        <v>2.4567109726794265</v>
      </c>
      <c r="J178" s="77">
        <f t="shared" si="39"/>
        <v>1.5503073151196178</v>
      </c>
      <c r="K178" s="272">
        <f>+B178*(('Step 2 - Transformer Sizing'!$R$22*0.9)+('Step 2 - Transformer Sizing'!$R$23*SIN(ACOS(0.9))))/240*100</f>
        <v>0</v>
      </c>
      <c r="L178" s="77">
        <f t="shared" si="40"/>
        <v>27.31255116881723</v>
      </c>
      <c r="M178" s="77">
        <f t="shared" si="41"/>
        <v>17.406953494111647</v>
      </c>
      <c r="N178" s="77">
        <f t="shared" si="42"/>
        <v>11.219581567262841</v>
      </c>
      <c r="O178" s="77">
        <f t="shared" si="43"/>
        <v>5.8713131283556628</v>
      </c>
      <c r="P178" s="77">
        <f t="shared" si="44"/>
        <v>9.0925084777668275</v>
      </c>
      <c r="Q178" s="77">
        <f t="shared" si="45"/>
        <v>5.9567034941116441</v>
      </c>
      <c r="R178" s="77">
        <f t="shared" si="46"/>
        <v>3.8754900388596498</v>
      </c>
      <c r="S178" s="77">
        <f t="shared" si="47"/>
        <v>2.9101485104564602</v>
      </c>
    </row>
    <row r="179" spans="1:19" ht="14.25" x14ac:dyDescent="0.2">
      <c r="A179" s="79">
        <v>169</v>
      </c>
      <c r="B179" s="78">
        <v>704</v>
      </c>
      <c r="C179" s="77">
        <f t="shared" si="32"/>
        <v>35.416495926568423</v>
      </c>
      <c r="D179" s="77">
        <f t="shared" si="33"/>
        <v>21.37113624870176</v>
      </c>
      <c r="E179" s="77">
        <f t="shared" si="34"/>
        <v>11.764108998961406</v>
      </c>
      <c r="F179" s="77">
        <f t="shared" si="35"/>
        <v>7.5732207135438614</v>
      </c>
      <c r="G179" s="77">
        <f t="shared" si="36"/>
        <v>4.9497765708350885</v>
      </c>
      <c r="H179" s="77">
        <f t="shared" si="37"/>
        <v>3.1266103567719306</v>
      </c>
      <c r="I179" s="77">
        <f t="shared" si="38"/>
        <v>2.4707493210947375</v>
      </c>
      <c r="J179" s="77">
        <f t="shared" si="39"/>
        <v>1.5591662140631586</v>
      </c>
      <c r="K179" s="272">
        <f>+B179*(('Step 2 - Transformer Sizing'!$R$22*0.9)+('Step 2 - Transformer Sizing'!$R$23*SIN(ACOS(0.9))))/240*100</f>
        <v>0</v>
      </c>
      <c r="L179" s="77">
        <f t="shared" si="40"/>
        <v>27.468622889781898</v>
      </c>
      <c r="M179" s="77">
        <f t="shared" si="41"/>
        <v>17.506421799792282</v>
      </c>
      <c r="N179" s="77">
        <f t="shared" si="42"/>
        <v>11.283693461932915</v>
      </c>
      <c r="O179" s="77">
        <f t="shared" si="43"/>
        <v>5.9048634890891227</v>
      </c>
      <c r="P179" s="77">
        <f t="shared" si="44"/>
        <v>9.144465669068353</v>
      </c>
      <c r="Q179" s="77">
        <f t="shared" si="45"/>
        <v>5.9907417997922812</v>
      </c>
      <c r="R179" s="77">
        <f t="shared" si="46"/>
        <v>3.8976356962245622</v>
      </c>
      <c r="S179" s="77">
        <f t="shared" si="47"/>
        <v>2.9267779305162112</v>
      </c>
    </row>
    <row r="180" spans="1:19" ht="14.25" x14ac:dyDescent="0.2">
      <c r="A180" s="79">
        <v>170</v>
      </c>
      <c r="B180" s="78">
        <v>708</v>
      </c>
      <c r="C180" s="77">
        <f t="shared" si="32"/>
        <v>35.617726017060292</v>
      </c>
      <c r="D180" s="77">
        <f t="shared" si="33"/>
        <v>21.492563159205744</v>
      </c>
      <c r="E180" s="77">
        <f t="shared" si="34"/>
        <v>11.830950527364596</v>
      </c>
      <c r="F180" s="77">
        <f t="shared" si="35"/>
        <v>7.6162503766889973</v>
      </c>
      <c r="G180" s="77">
        <f t="shared" si="36"/>
        <v>4.9779003013511973</v>
      </c>
      <c r="H180" s="77">
        <f t="shared" si="37"/>
        <v>3.1443751883444984</v>
      </c>
      <c r="I180" s="77">
        <f t="shared" si="38"/>
        <v>2.4847876695100481</v>
      </c>
      <c r="J180" s="77">
        <f t="shared" si="39"/>
        <v>1.5680251130066991</v>
      </c>
      <c r="K180" s="272">
        <f>+B180*(('Step 2 - Transformer Sizing'!$R$22*0.9)+('Step 2 - Transformer Sizing'!$R$23*SIN(ACOS(0.9))))/240*100</f>
        <v>0</v>
      </c>
      <c r="L180" s="77">
        <f t="shared" si="40"/>
        <v>27.62469461074657</v>
      </c>
      <c r="M180" s="77">
        <f t="shared" si="41"/>
        <v>17.60589010547292</v>
      </c>
      <c r="N180" s="77">
        <f t="shared" si="42"/>
        <v>11.347805356602986</v>
      </c>
      <c r="O180" s="77">
        <f t="shared" si="43"/>
        <v>5.9384138498225845</v>
      </c>
      <c r="P180" s="77">
        <f t="shared" si="44"/>
        <v>9.1964228603698768</v>
      </c>
      <c r="Q180" s="77">
        <f t="shared" si="45"/>
        <v>6.0247801054729191</v>
      </c>
      <c r="R180" s="77">
        <f t="shared" si="46"/>
        <v>3.919781353589475</v>
      </c>
      <c r="S180" s="77">
        <f t="shared" si="47"/>
        <v>2.9434073505759621</v>
      </c>
    </row>
    <row r="181" spans="1:19" ht="14.25" x14ac:dyDescent="0.2">
      <c r="A181" s="79">
        <v>171</v>
      </c>
      <c r="B181" s="78">
        <v>713</v>
      </c>
      <c r="C181" s="77">
        <f t="shared" si="32"/>
        <v>35.869263630175126</v>
      </c>
      <c r="D181" s="77">
        <f t="shared" si="33"/>
        <v>21.644346797335732</v>
      </c>
      <c r="E181" s="77">
        <f t="shared" si="34"/>
        <v>11.914502437868583</v>
      </c>
      <c r="F181" s="77">
        <f t="shared" si="35"/>
        <v>7.6700374556204167</v>
      </c>
      <c r="G181" s="77">
        <f t="shared" si="36"/>
        <v>5.0130549644963329</v>
      </c>
      <c r="H181" s="77">
        <f t="shared" si="37"/>
        <v>3.1665812278102083</v>
      </c>
      <c r="I181" s="77">
        <f t="shared" si="38"/>
        <v>2.5023356050291872</v>
      </c>
      <c r="J181" s="77">
        <f t="shared" si="39"/>
        <v>1.5790987366861249</v>
      </c>
      <c r="K181" s="272">
        <f>+B181*(('Step 2 - Transformer Sizing'!$R$22*0.9)+('Step 2 - Transformer Sizing'!$R$23*SIN(ACOS(0.9))))/240*100</f>
        <v>0</v>
      </c>
      <c r="L181" s="77">
        <f t="shared" si="40"/>
        <v>27.819784261952407</v>
      </c>
      <c r="M181" s="77">
        <f t="shared" si="41"/>
        <v>17.730225487573716</v>
      </c>
      <c r="N181" s="77">
        <f t="shared" si="42"/>
        <v>11.427945224940579</v>
      </c>
      <c r="O181" s="77">
        <f t="shared" si="43"/>
        <v>5.9803518007394105</v>
      </c>
      <c r="P181" s="77">
        <f t="shared" si="44"/>
        <v>9.2613693494967819</v>
      </c>
      <c r="Q181" s="77">
        <f t="shared" si="45"/>
        <v>6.0673279875737167</v>
      </c>
      <c r="R181" s="77">
        <f t="shared" si="46"/>
        <v>3.9474634252956151</v>
      </c>
      <c r="S181" s="77">
        <f t="shared" si="47"/>
        <v>2.9641941256506512</v>
      </c>
    </row>
    <row r="182" spans="1:19" ht="14.25" x14ac:dyDescent="0.2">
      <c r="A182" s="79">
        <v>172</v>
      </c>
      <c r="B182" s="78">
        <v>717</v>
      </c>
      <c r="C182" s="77">
        <f t="shared" si="32"/>
        <v>36.070493720666988</v>
      </c>
      <c r="D182" s="77">
        <f t="shared" si="33"/>
        <v>21.765773707839717</v>
      </c>
      <c r="E182" s="77">
        <f t="shared" si="34"/>
        <v>11.981343966271773</v>
      </c>
      <c r="F182" s="77">
        <f t="shared" si="35"/>
        <v>7.7130671187655526</v>
      </c>
      <c r="G182" s="77">
        <f t="shared" si="36"/>
        <v>5.0411786950124409</v>
      </c>
      <c r="H182" s="77">
        <f t="shared" si="37"/>
        <v>3.1843460593827762</v>
      </c>
      <c r="I182" s="77">
        <f t="shared" si="38"/>
        <v>2.5163739534444982</v>
      </c>
      <c r="J182" s="77">
        <f t="shared" si="39"/>
        <v>1.5879576356296654</v>
      </c>
      <c r="K182" s="272">
        <f>+B182*(('Step 2 - Transformer Sizing'!$R$22*0.9)+('Step 2 - Transformer Sizing'!$R$23*SIN(ACOS(0.9))))/240*100</f>
        <v>0</v>
      </c>
      <c r="L182" s="77">
        <f t="shared" si="40"/>
        <v>27.975855982917075</v>
      </c>
      <c r="M182" s="77">
        <f t="shared" si="41"/>
        <v>17.829693793254357</v>
      </c>
      <c r="N182" s="77">
        <f t="shared" si="42"/>
        <v>11.492057119610653</v>
      </c>
      <c r="O182" s="77">
        <f t="shared" si="43"/>
        <v>6.0139021614728723</v>
      </c>
      <c r="P182" s="77">
        <f t="shared" si="44"/>
        <v>9.3133265407983075</v>
      </c>
      <c r="Q182" s="77">
        <f t="shared" si="45"/>
        <v>6.1013662932543546</v>
      </c>
      <c r="R182" s="77">
        <f t="shared" si="46"/>
        <v>3.9696090826605275</v>
      </c>
      <c r="S182" s="77">
        <f t="shared" si="47"/>
        <v>2.9808235457104026</v>
      </c>
    </row>
    <row r="183" spans="1:19" ht="14.25" x14ac:dyDescent="0.2">
      <c r="A183" s="79">
        <v>173</v>
      </c>
      <c r="B183" s="78">
        <v>721</v>
      </c>
      <c r="C183" s="77">
        <f t="shared" si="32"/>
        <v>36.271723811158857</v>
      </c>
      <c r="D183" s="77">
        <f t="shared" si="33"/>
        <v>21.887200618343705</v>
      </c>
      <c r="E183" s="77">
        <f t="shared" si="34"/>
        <v>12.048185494674964</v>
      </c>
      <c r="F183" s="77">
        <f t="shared" si="35"/>
        <v>7.7560967819106876</v>
      </c>
      <c r="G183" s="77">
        <f t="shared" si="36"/>
        <v>5.0693024255285497</v>
      </c>
      <c r="H183" s="77">
        <f t="shared" si="37"/>
        <v>3.202110890955344</v>
      </c>
      <c r="I183" s="77">
        <f t="shared" si="38"/>
        <v>2.5304123018598088</v>
      </c>
      <c r="J183" s="77">
        <f t="shared" si="39"/>
        <v>1.5968165345732064</v>
      </c>
      <c r="K183" s="272">
        <f>+B183*(('Step 2 - Transformer Sizing'!$R$22*0.9)+('Step 2 - Transformer Sizing'!$R$23*SIN(ACOS(0.9))))/240*100</f>
        <v>0</v>
      </c>
      <c r="L183" s="77">
        <f t="shared" si="40"/>
        <v>28.131927703881743</v>
      </c>
      <c r="M183" s="77">
        <f t="shared" si="41"/>
        <v>17.929162098934995</v>
      </c>
      <c r="N183" s="77">
        <f t="shared" si="42"/>
        <v>11.556169014280728</v>
      </c>
      <c r="O183" s="77">
        <f t="shared" si="43"/>
        <v>6.0474525222063331</v>
      </c>
      <c r="P183" s="77">
        <f t="shared" si="44"/>
        <v>9.365283732099833</v>
      </c>
      <c r="Q183" s="77">
        <f t="shared" si="45"/>
        <v>6.1354045989349926</v>
      </c>
      <c r="R183" s="77">
        <f t="shared" si="46"/>
        <v>3.9917547400254398</v>
      </c>
      <c r="S183" s="77">
        <f t="shared" si="47"/>
        <v>2.9974529657701541</v>
      </c>
    </row>
    <row r="184" spans="1:19" ht="14.25" x14ac:dyDescent="0.2">
      <c r="A184" s="79">
        <v>174</v>
      </c>
      <c r="B184" s="78">
        <v>725</v>
      </c>
      <c r="C184" s="77">
        <f t="shared" si="32"/>
        <v>36.472953901650726</v>
      </c>
      <c r="D184" s="77">
        <f t="shared" si="33"/>
        <v>22.008627528847693</v>
      </c>
      <c r="E184" s="77">
        <f t="shared" si="34"/>
        <v>12.115027023078154</v>
      </c>
      <c r="F184" s="77">
        <f t="shared" si="35"/>
        <v>7.7991264450558235</v>
      </c>
      <c r="G184" s="77">
        <f t="shared" si="36"/>
        <v>5.0974261560446577</v>
      </c>
      <c r="H184" s="77">
        <f t="shared" si="37"/>
        <v>3.2198757225279118</v>
      </c>
      <c r="I184" s="77">
        <f t="shared" si="38"/>
        <v>2.5444506502751203</v>
      </c>
      <c r="J184" s="77">
        <f t="shared" si="39"/>
        <v>1.6056754335167469</v>
      </c>
      <c r="K184" s="272">
        <f>+B184*(('Step 2 - Transformer Sizing'!$R$22*0.9)+('Step 2 - Transformer Sizing'!$R$23*SIN(ACOS(0.9))))/240*100</f>
        <v>0</v>
      </c>
      <c r="L184" s="77">
        <f t="shared" si="40"/>
        <v>28.287999424846415</v>
      </c>
      <c r="M184" s="77">
        <f t="shared" si="41"/>
        <v>18.028630404615633</v>
      </c>
      <c r="N184" s="77">
        <f t="shared" si="42"/>
        <v>11.6202809089508</v>
      </c>
      <c r="O184" s="77">
        <f t="shared" si="43"/>
        <v>6.0810028829397931</v>
      </c>
      <c r="P184" s="77">
        <f t="shared" si="44"/>
        <v>9.4172409234013568</v>
      </c>
      <c r="Q184" s="77">
        <f t="shared" si="45"/>
        <v>6.1694429046156314</v>
      </c>
      <c r="R184" s="77">
        <f t="shared" si="46"/>
        <v>4.0139003973903513</v>
      </c>
      <c r="S184" s="77">
        <f t="shared" si="47"/>
        <v>3.0140823858299046</v>
      </c>
    </row>
    <row r="185" spans="1:19" ht="14.25" x14ac:dyDescent="0.2">
      <c r="A185" s="79">
        <v>175</v>
      </c>
      <c r="B185" s="78">
        <v>729</v>
      </c>
      <c r="C185" s="77">
        <f t="shared" si="32"/>
        <v>36.674183992142588</v>
      </c>
      <c r="D185" s="77">
        <f t="shared" si="33"/>
        <v>22.130054439351678</v>
      </c>
      <c r="E185" s="77">
        <f t="shared" si="34"/>
        <v>12.181868551481342</v>
      </c>
      <c r="F185" s="77">
        <f t="shared" si="35"/>
        <v>7.8421561082009594</v>
      </c>
      <c r="G185" s="77">
        <f t="shared" si="36"/>
        <v>5.1255498865607665</v>
      </c>
      <c r="H185" s="77">
        <f t="shared" si="37"/>
        <v>3.2376405541004791</v>
      </c>
      <c r="I185" s="77">
        <f t="shared" si="38"/>
        <v>2.5584889986904313</v>
      </c>
      <c r="J185" s="77">
        <f t="shared" si="39"/>
        <v>1.6145343324602874</v>
      </c>
      <c r="K185" s="272">
        <f>+B185*(('Step 2 - Transformer Sizing'!$R$22*0.9)+('Step 2 - Transformer Sizing'!$R$23*SIN(ACOS(0.9))))/240*100</f>
        <v>0</v>
      </c>
      <c r="L185" s="77">
        <f t="shared" si="40"/>
        <v>28.444071145811083</v>
      </c>
      <c r="M185" s="77">
        <f t="shared" si="41"/>
        <v>18.128098710296271</v>
      </c>
      <c r="N185" s="77">
        <f t="shared" si="42"/>
        <v>11.684392803620874</v>
      </c>
      <c r="O185" s="77">
        <f t="shared" si="43"/>
        <v>6.1145532436732548</v>
      </c>
      <c r="P185" s="77">
        <f t="shared" si="44"/>
        <v>9.4691981147028805</v>
      </c>
      <c r="Q185" s="77">
        <f t="shared" si="45"/>
        <v>6.2034812102962693</v>
      </c>
      <c r="R185" s="77">
        <f t="shared" si="46"/>
        <v>4.0360460547552632</v>
      </c>
      <c r="S185" s="77">
        <f t="shared" si="47"/>
        <v>3.0307118058896561</v>
      </c>
    </row>
    <row r="186" spans="1:19" ht="14.25" x14ac:dyDescent="0.2">
      <c r="A186" s="79">
        <v>176</v>
      </c>
      <c r="B186" s="78">
        <v>733</v>
      </c>
      <c r="C186" s="77">
        <f t="shared" si="32"/>
        <v>36.875414082634457</v>
      </c>
      <c r="D186" s="77">
        <f t="shared" si="33"/>
        <v>22.251481349855666</v>
      </c>
      <c r="E186" s="77">
        <f t="shared" si="34"/>
        <v>12.248710079884532</v>
      </c>
      <c r="F186" s="77">
        <f t="shared" si="35"/>
        <v>7.8851857713460944</v>
      </c>
      <c r="G186" s="77">
        <f t="shared" si="36"/>
        <v>5.1536736170768744</v>
      </c>
      <c r="H186" s="77">
        <f t="shared" si="37"/>
        <v>3.2554053856730469</v>
      </c>
      <c r="I186" s="77">
        <f t="shared" si="38"/>
        <v>2.5725273471057424</v>
      </c>
      <c r="J186" s="77">
        <f t="shared" si="39"/>
        <v>1.6233932314038284</v>
      </c>
      <c r="K186" s="272">
        <f>+B186*(('Step 2 - Transformer Sizing'!$R$22*0.9)+('Step 2 - Transformer Sizing'!$R$23*SIN(ACOS(0.9))))/240*100</f>
        <v>0</v>
      </c>
      <c r="L186" s="77">
        <f t="shared" si="40"/>
        <v>28.600142866775759</v>
      </c>
      <c r="M186" s="77">
        <f t="shared" si="41"/>
        <v>18.227567015976909</v>
      </c>
      <c r="N186" s="77">
        <f t="shared" si="42"/>
        <v>11.748504698290946</v>
      </c>
      <c r="O186" s="77">
        <f t="shared" si="43"/>
        <v>6.1481036044067157</v>
      </c>
      <c r="P186" s="77">
        <f t="shared" si="44"/>
        <v>9.5211553060044078</v>
      </c>
      <c r="Q186" s="77">
        <f t="shared" si="45"/>
        <v>6.2375195159769063</v>
      </c>
      <c r="R186" s="77">
        <f t="shared" si="46"/>
        <v>4.058191712120176</v>
      </c>
      <c r="S186" s="77">
        <f t="shared" si="47"/>
        <v>3.0473412259494075</v>
      </c>
    </row>
    <row r="187" spans="1:19" ht="14.25" x14ac:dyDescent="0.2">
      <c r="A187" s="79">
        <v>177</v>
      </c>
      <c r="B187" s="78">
        <v>738</v>
      </c>
      <c r="C187" s="77">
        <f t="shared" si="32"/>
        <v>37.126951695749291</v>
      </c>
      <c r="D187" s="77">
        <f t="shared" si="33"/>
        <v>22.403264987985651</v>
      </c>
      <c r="E187" s="77">
        <f t="shared" si="34"/>
        <v>12.33226199038852</v>
      </c>
      <c r="F187" s="77">
        <f t="shared" si="35"/>
        <v>7.938972850277513</v>
      </c>
      <c r="G187" s="77">
        <f t="shared" si="36"/>
        <v>5.18882828022201</v>
      </c>
      <c r="H187" s="77">
        <f t="shared" si="37"/>
        <v>3.2776114251387565</v>
      </c>
      <c r="I187" s="77">
        <f t="shared" si="38"/>
        <v>2.590075282624881</v>
      </c>
      <c r="J187" s="77">
        <f t="shared" si="39"/>
        <v>1.6344668550832542</v>
      </c>
      <c r="K187" s="272">
        <f>+B187*(('Step 2 - Transformer Sizing'!$R$22*0.9)+('Step 2 - Transformer Sizing'!$R$23*SIN(ACOS(0.9))))/240*100</f>
        <v>0</v>
      </c>
      <c r="L187" s="77">
        <f t="shared" si="40"/>
        <v>28.795232517981596</v>
      </c>
      <c r="M187" s="77">
        <f t="shared" si="41"/>
        <v>18.351902398077705</v>
      </c>
      <c r="N187" s="77">
        <f t="shared" si="42"/>
        <v>11.828644566628538</v>
      </c>
      <c r="O187" s="77">
        <f t="shared" si="43"/>
        <v>6.1900415553235417</v>
      </c>
      <c r="P187" s="77">
        <f t="shared" si="44"/>
        <v>9.5861017951313112</v>
      </c>
      <c r="Q187" s="77">
        <f t="shared" si="45"/>
        <v>6.2800673980777049</v>
      </c>
      <c r="R187" s="77">
        <f t="shared" si="46"/>
        <v>4.0858737838263171</v>
      </c>
      <c r="S187" s="77">
        <f t="shared" si="47"/>
        <v>3.0681280010240961</v>
      </c>
    </row>
    <row r="188" spans="1:19" ht="14.25" x14ac:dyDescent="0.2">
      <c r="A188" s="79">
        <v>178</v>
      </c>
      <c r="B188" s="78">
        <v>742</v>
      </c>
      <c r="C188" s="77">
        <f t="shared" si="32"/>
        <v>37.328181786241146</v>
      </c>
      <c r="D188" s="77">
        <f t="shared" si="33"/>
        <v>22.524691898489639</v>
      </c>
      <c r="E188" s="77">
        <f t="shared" si="34"/>
        <v>12.399103518791708</v>
      </c>
      <c r="F188" s="77">
        <f t="shared" si="35"/>
        <v>7.9820025134226498</v>
      </c>
      <c r="G188" s="77">
        <f t="shared" si="36"/>
        <v>5.2169520107381189</v>
      </c>
      <c r="H188" s="77">
        <f t="shared" si="37"/>
        <v>3.2953762567113252</v>
      </c>
      <c r="I188" s="77">
        <f t="shared" si="38"/>
        <v>2.6041136310401924</v>
      </c>
      <c r="J188" s="77">
        <f t="shared" si="39"/>
        <v>1.6433257540267947</v>
      </c>
      <c r="K188" s="272">
        <f>+B188*(('Step 2 - Transformer Sizing'!$R$22*0.9)+('Step 2 - Transformer Sizing'!$R$23*SIN(ACOS(0.9))))/240*100</f>
        <v>0</v>
      </c>
      <c r="L188" s="77">
        <f t="shared" si="40"/>
        <v>28.951304238946264</v>
      </c>
      <c r="M188" s="77">
        <f t="shared" si="41"/>
        <v>18.451370703758347</v>
      </c>
      <c r="N188" s="77">
        <f t="shared" si="42"/>
        <v>11.892756461298612</v>
      </c>
      <c r="O188" s="77">
        <f t="shared" si="43"/>
        <v>6.2235919160570026</v>
      </c>
      <c r="P188" s="77">
        <f t="shared" si="44"/>
        <v>9.6380589864328368</v>
      </c>
      <c r="Q188" s="77">
        <f t="shared" si="45"/>
        <v>6.3141057037583419</v>
      </c>
      <c r="R188" s="77">
        <f t="shared" si="46"/>
        <v>4.1080194411912281</v>
      </c>
      <c r="S188" s="77">
        <f t="shared" si="47"/>
        <v>3.084757421083848</v>
      </c>
    </row>
    <row r="189" spans="1:19" ht="14.25" x14ac:dyDescent="0.2">
      <c r="A189" s="79">
        <v>179</v>
      </c>
      <c r="B189" s="78">
        <v>746</v>
      </c>
      <c r="C189" s="77">
        <f t="shared" si="32"/>
        <v>37.529411876733022</v>
      </c>
      <c r="D189" s="77">
        <f t="shared" si="33"/>
        <v>22.646118808993624</v>
      </c>
      <c r="E189" s="77">
        <f t="shared" si="34"/>
        <v>12.465945047194898</v>
      </c>
      <c r="F189" s="77">
        <f t="shared" si="35"/>
        <v>8.0250321765677857</v>
      </c>
      <c r="G189" s="77">
        <f t="shared" si="36"/>
        <v>5.2450757412542268</v>
      </c>
      <c r="H189" s="77">
        <f t="shared" si="37"/>
        <v>3.3131410882838921</v>
      </c>
      <c r="I189" s="77">
        <f t="shared" si="38"/>
        <v>2.618151979455503</v>
      </c>
      <c r="J189" s="77">
        <f t="shared" si="39"/>
        <v>1.6521846529703355</v>
      </c>
      <c r="K189" s="272">
        <f>+B189*(('Step 2 - Transformer Sizing'!$R$22*0.9)+('Step 2 - Transformer Sizing'!$R$23*SIN(ACOS(0.9))))/240*100</f>
        <v>0</v>
      </c>
      <c r="L189" s="77">
        <f t="shared" si="40"/>
        <v>29.107375959910936</v>
      </c>
      <c r="M189" s="77">
        <f t="shared" si="41"/>
        <v>18.550839009438981</v>
      </c>
      <c r="N189" s="77">
        <f t="shared" si="42"/>
        <v>11.956868355968684</v>
      </c>
      <c r="O189" s="77">
        <f t="shared" si="43"/>
        <v>6.2571422767904634</v>
      </c>
      <c r="P189" s="77">
        <f t="shared" si="44"/>
        <v>9.6900161777343641</v>
      </c>
      <c r="Q189" s="77">
        <f t="shared" si="45"/>
        <v>6.3481440094389798</v>
      </c>
      <c r="R189" s="77">
        <f t="shared" si="46"/>
        <v>4.1301650985561409</v>
      </c>
      <c r="S189" s="77">
        <f t="shared" si="47"/>
        <v>3.101386841143599</v>
      </c>
    </row>
    <row r="190" spans="1:19" ht="14.25" x14ac:dyDescent="0.2">
      <c r="A190" s="79">
        <v>180</v>
      </c>
      <c r="B190" s="78">
        <v>750</v>
      </c>
      <c r="C190" s="77">
        <f t="shared" si="32"/>
        <v>37.730641967224884</v>
      </c>
      <c r="D190" s="77">
        <f t="shared" si="33"/>
        <v>22.767545719497612</v>
      </c>
      <c r="E190" s="77">
        <f t="shared" si="34"/>
        <v>12.53278657559809</v>
      </c>
      <c r="F190" s="77">
        <f t="shared" si="35"/>
        <v>8.0680618397129198</v>
      </c>
      <c r="G190" s="77">
        <f t="shared" si="36"/>
        <v>5.2731994717703357</v>
      </c>
      <c r="H190" s="77">
        <f t="shared" si="37"/>
        <v>3.3309059198564603</v>
      </c>
      <c r="I190" s="77">
        <f t="shared" si="38"/>
        <v>2.6321903278708141</v>
      </c>
      <c r="J190" s="77">
        <f t="shared" si="39"/>
        <v>1.6610435519138762</v>
      </c>
      <c r="K190" s="272">
        <f>+B190*(('Step 2 - Transformer Sizing'!$R$22*0.9)+('Step 2 - Transformer Sizing'!$R$23*SIN(ACOS(0.9))))/240*100</f>
        <v>0</v>
      </c>
      <c r="L190" s="77">
        <f t="shared" si="40"/>
        <v>29.263447680875597</v>
      </c>
      <c r="M190" s="77">
        <f t="shared" si="41"/>
        <v>18.650307315119623</v>
      </c>
      <c r="N190" s="77">
        <f t="shared" si="42"/>
        <v>12.020980250638759</v>
      </c>
      <c r="O190" s="77">
        <f t="shared" si="43"/>
        <v>6.2906926375239243</v>
      </c>
      <c r="P190" s="77">
        <f t="shared" si="44"/>
        <v>9.7419733690358861</v>
      </c>
      <c r="Q190" s="77">
        <f t="shared" si="45"/>
        <v>6.3821823151196178</v>
      </c>
      <c r="R190" s="77">
        <f t="shared" si="46"/>
        <v>4.1523107559210537</v>
      </c>
      <c r="S190" s="77">
        <f t="shared" si="47"/>
        <v>3.11801626120335</v>
      </c>
    </row>
    <row r="191" spans="1:19" ht="14.25" x14ac:dyDescent="0.2">
      <c r="A191" s="79">
        <v>181</v>
      </c>
      <c r="B191" s="78">
        <v>754</v>
      </c>
      <c r="C191" s="77">
        <f t="shared" si="32"/>
        <v>37.931872057716745</v>
      </c>
      <c r="D191" s="77">
        <f t="shared" si="33"/>
        <v>22.888972630001597</v>
      </c>
      <c r="E191" s="77">
        <f t="shared" si="34"/>
        <v>12.599628104001278</v>
      </c>
      <c r="F191" s="77">
        <f t="shared" si="35"/>
        <v>8.1110915028580557</v>
      </c>
      <c r="G191" s="77">
        <f t="shared" si="36"/>
        <v>5.3013232022864436</v>
      </c>
      <c r="H191" s="77">
        <f t="shared" si="37"/>
        <v>3.3486707514290281</v>
      </c>
      <c r="I191" s="77">
        <f t="shared" si="38"/>
        <v>2.6462286762861251</v>
      </c>
      <c r="J191" s="77">
        <f t="shared" si="39"/>
        <v>1.669902450857417</v>
      </c>
      <c r="K191" s="272">
        <f>+B191*(('Step 2 - Transformer Sizing'!$R$22*0.9)+('Step 2 - Transformer Sizing'!$R$23*SIN(ACOS(0.9))))/240*100</f>
        <v>0</v>
      </c>
      <c r="L191" s="77">
        <f t="shared" si="40"/>
        <v>29.419519401840272</v>
      </c>
      <c r="M191" s="77">
        <f t="shared" si="41"/>
        <v>18.749775620800257</v>
      </c>
      <c r="N191" s="77">
        <f t="shared" si="42"/>
        <v>12.085092145308833</v>
      </c>
      <c r="O191" s="77">
        <f t="shared" si="43"/>
        <v>6.324242998257386</v>
      </c>
      <c r="P191" s="77">
        <f t="shared" si="44"/>
        <v>9.7939305603374116</v>
      </c>
      <c r="Q191" s="77">
        <f t="shared" si="45"/>
        <v>6.4162206208002557</v>
      </c>
      <c r="R191" s="77">
        <f t="shared" si="46"/>
        <v>4.1744564132859656</v>
      </c>
      <c r="S191" s="77">
        <f t="shared" si="47"/>
        <v>3.1346456812631014</v>
      </c>
    </row>
    <row r="192" spans="1:19" ht="14.25" x14ac:dyDescent="0.2">
      <c r="A192" s="79">
        <v>182</v>
      </c>
      <c r="B192" s="78">
        <v>758</v>
      </c>
      <c r="C192" s="77">
        <f t="shared" si="32"/>
        <v>38.133102148208614</v>
      </c>
      <c r="D192" s="77">
        <f t="shared" si="33"/>
        <v>23.010399540505585</v>
      </c>
      <c r="E192" s="77">
        <f t="shared" si="34"/>
        <v>12.666469632404468</v>
      </c>
      <c r="F192" s="77">
        <f t="shared" si="35"/>
        <v>8.1541211660031898</v>
      </c>
      <c r="G192" s="77">
        <f t="shared" si="36"/>
        <v>5.3294469328025524</v>
      </c>
      <c r="H192" s="77">
        <f t="shared" si="37"/>
        <v>3.366435583001596</v>
      </c>
      <c r="I192" s="77">
        <f t="shared" si="38"/>
        <v>2.6602670247014357</v>
      </c>
      <c r="J192" s="77">
        <f t="shared" si="39"/>
        <v>1.6787613498009575</v>
      </c>
      <c r="K192" s="272">
        <f>+B192*(('Step 2 - Transformer Sizing'!$R$22*0.9)+('Step 2 - Transformer Sizing'!$R$23*SIN(ACOS(0.9))))/240*100</f>
        <v>0</v>
      </c>
      <c r="L192" s="77">
        <f t="shared" si="40"/>
        <v>29.575591122804941</v>
      </c>
      <c r="M192" s="77">
        <f t="shared" si="41"/>
        <v>18.849243926480895</v>
      </c>
      <c r="N192" s="77">
        <f t="shared" si="42"/>
        <v>12.149204039978905</v>
      </c>
      <c r="O192" s="77">
        <f t="shared" si="43"/>
        <v>6.357793358990846</v>
      </c>
      <c r="P192" s="77">
        <f t="shared" si="44"/>
        <v>9.8458877516389354</v>
      </c>
      <c r="Q192" s="77">
        <f t="shared" si="45"/>
        <v>6.4502589264808936</v>
      </c>
      <c r="R192" s="77">
        <f t="shared" si="46"/>
        <v>4.1966020706508784</v>
      </c>
      <c r="S192" s="77">
        <f t="shared" si="47"/>
        <v>3.1512751013228519</v>
      </c>
    </row>
    <row r="193" spans="1:19" ht="14.25" x14ac:dyDescent="0.2">
      <c r="A193" s="79">
        <v>183</v>
      </c>
      <c r="B193" s="78">
        <v>763</v>
      </c>
      <c r="C193" s="77">
        <f t="shared" si="32"/>
        <v>38.384639761323456</v>
      </c>
      <c r="D193" s="77">
        <f t="shared" si="33"/>
        <v>23.162183178635569</v>
      </c>
      <c r="E193" s="77">
        <f t="shared" si="34"/>
        <v>12.750021542908458</v>
      </c>
      <c r="F193" s="77">
        <f t="shared" si="35"/>
        <v>8.207908244934611</v>
      </c>
      <c r="G193" s="77">
        <f t="shared" si="36"/>
        <v>5.3646015959476889</v>
      </c>
      <c r="H193" s="77">
        <f t="shared" si="37"/>
        <v>3.3886416224673055</v>
      </c>
      <c r="I193" s="77">
        <f t="shared" si="38"/>
        <v>2.6778149602205747</v>
      </c>
      <c r="J193" s="77">
        <f t="shared" si="39"/>
        <v>1.6898349734803833</v>
      </c>
      <c r="K193" s="272">
        <f>+B193*(('Step 2 - Transformer Sizing'!$R$22*0.9)+('Step 2 - Transformer Sizing'!$R$23*SIN(ACOS(0.9))))/240*100</f>
        <v>0</v>
      </c>
      <c r="L193" s="77">
        <f t="shared" si="40"/>
        <v>29.770680774010778</v>
      </c>
      <c r="M193" s="77">
        <f t="shared" si="41"/>
        <v>18.973579308581691</v>
      </c>
      <c r="N193" s="77">
        <f t="shared" si="42"/>
        <v>12.229343908316496</v>
      </c>
      <c r="O193" s="77">
        <f t="shared" si="43"/>
        <v>6.399731309907672</v>
      </c>
      <c r="P193" s="77">
        <f t="shared" si="44"/>
        <v>9.9108342407658423</v>
      </c>
      <c r="Q193" s="77">
        <f t="shared" si="45"/>
        <v>6.4928068085816912</v>
      </c>
      <c r="R193" s="77">
        <f t="shared" si="46"/>
        <v>4.2242841423570185</v>
      </c>
      <c r="S193" s="77">
        <f t="shared" si="47"/>
        <v>3.172061876397541</v>
      </c>
    </row>
    <row r="194" spans="1:19" ht="14.25" x14ac:dyDescent="0.2">
      <c r="A194" s="79">
        <v>184</v>
      </c>
      <c r="B194" s="78">
        <v>767</v>
      </c>
      <c r="C194" s="77">
        <f t="shared" si="32"/>
        <v>38.585869851815318</v>
      </c>
      <c r="D194" s="77">
        <f t="shared" si="33"/>
        <v>23.283610089139557</v>
      </c>
      <c r="E194" s="77">
        <f t="shared" si="34"/>
        <v>12.816863071311646</v>
      </c>
      <c r="F194" s="77">
        <f t="shared" si="35"/>
        <v>8.2509379080797451</v>
      </c>
      <c r="G194" s="77">
        <f t="shared" si="36"/>
        <v>5.3927253264637969</v>
      </c>
      <c r="H194" s="77">
        <f t="shared" si="37"/>
        <v>3.4064064540398737</v>
      </c>
      <c r="I194" s="77">
        <f t="shared" si="38"/>
        <v>2.6918533086358853</v>
      </c>
      <c r="J194" s="77">
        <f t="shared" si="39"/>
        <v>1.6986938724239242</v>
      </c>
      <c r="K194" s="272">
        <f>+B194*(('Step 2 - Transformer Sizing'!$R$22*0.9)+('Step 2 - Transformer Sizing'!$R$23*SIN(ACOS(0.9))))/240*100</f>
        <v>0</v>
      </c>
      <c r="L194" s="77">
        <f t="shared" si="40"/>
        <v>29.926752494975446</v>
      </c>
      <c r="M194" s="77">
        <f t="shared" si="41"/>
        <v>19.073047614262332</v>
      </c>
      <c r="N194" s="77">
        <f t="shared" si="42"/>
        <v>12.293455802986571</v>
      </c>
      <c r="O194" s="77">
        <f t="shared" si="43"/>
        <v>6.4332816706411329</v>
      </c>
      <c r="P194" s="77">
        <f t="shared" si="44"/>
        <v>9.9627914320673678</v>
      </c>
      <c r="Q194" s="77">
        <f t="shared" si="45"/>
        <v>6.5268451142623292</v>
      </c>
      <c r="R194" s="77">
        <f t="shared" si="46"/>
        <v>4.2464297997219305</v>
      </c>
      <c r="S194" s="77">
        <f t="shared" si="47"/>
        <v>3.1886912964572924</v>
      </c>
    </row>
    <row r="195" spans="1:19" ht="14.25" x14ac:dyDescent="0.2">
      <c r="A195" s="79">
        <v>185</v>
      </c>
      <c r="B195" s="78">
        <v>771</v>
      </c>
      <c r="C195" s="77">
        <f t="shared" si="32"/>
        <v>38.787099942307186</v>
      </c>
      <c r="D195" s="77">
        <f t="shared" si="33"/>
        <v>23.405036999643546</v>
      </c>
      <c r="E195" s="77">
        <f t="shared" si="34"/>
        <v>12.883704599714834</v>
      </c>
      <c r="F195" s="77">
        <f t="shared" si="35"/>
        <v>8.2939675712248828</v>
      </c>
      <c r="G195" s="77">
        <f t="shared" si="36"/>
        <v>5.4208490569799057</v>
      </c>
      <c r="H195" s="77">
        <f t="shared" si="37"/>
        <v>3.4241712856124416</v>
      </c>
      <c r="I195" s="77">
        <f t="shared" si="38"/>
        <v>2.7058916570511968</v>
      </c>
      <c r="J195" s="77">
        <f t="shared" si="39"/>
        <v>1.7075527713674648</v>
      </c>
      <c r="K195" s="272">
        <f>+B195*(('Step 2 - Transformer Sizing'!$R$22*0.9)+('Step 2 - Transformer Sizing'!$R$23*SIN(ACOS(0.9))))/240*100</f>
        <v>0</v>
      </c>
      <c r="L195" s="77">
        <f t="shared" si="40"/>
        <v>30.082824215940118</v>
      </c>
      <c r="M195" s="77">
        <f t="shared" si="41"/>
        <v>19.17251591994297</v>
      </c>
      <c r="N195" s="77">
        <f t="shared" si="42"/>
        <v>12.357567697656643</v>
      </c>
      <c r="O195" s="77">
        <f t="shared" si="43"/>
        <v>6.4668320313745946</v>
      </c>
      <c r="P195" s="77">
        <f t="shared" si="44"/>
        <v>10.014748623368892</v>
      </c>
      <c r="Q195" s="77">
        <f t="shared" si="45"/>
        <v>6.5608834199429671</v>
      </c>
      <c r="R195" s="77">
        <f t="shared" si="46"/>
        <v>4.2685754570868433</v>
      </c>
      <c r="S195" s="77">
        <f t="shared" si="47"/>
        <v>3.2053207165170439</v>
      </c>
    </row>
    <row r="196" spans="1:19" ht="14.25" x14ac:dyDescent="0.2">
      <c r="A196" s="79">
        <v>186</v>
      </c>
      <c r="B196" s="78">
        <v>775</v>
      </c>
      <c r="C196" s="77">
        <f t="shared" si="32"/>
        <v>38.988330032799048</v>
      </c>
      <c r="D196" s="77">
        <f t="shared" si="33"/>
        <v>23.526463910147534</v>
      </c>
      <c r="E196" s="77">
        <f t="shared" si="34"/>
        <v>12.950546128118026</v>
      </c>
      <c r="F196" s="77">
        <f t="shared" si="35"/>
        <v>8.3369972343700187</v>
      </c>
      <c r="G196" s="77">
        <f t="shared" si="36"/>
        <v>5.4489727874960137</v>
      </c>
      <c r="H196" s="77">
        <f t="shared" si="37"/>
        <v>3.4419361171850085</v>
      </c>
      <c r="I196" s="77">
        <f t="shared" si="38"/>
        <v>2.7199300054665079</v>
      </c>
      <c r="J196" s="77">
        <f t="shared" si="39"/>
        <v>1.7164116703110057</v>
      </c>
      <c r="K196" s="272">
        <f>+B196*(('Step 2 - Transformer Sizing'!$R$22*0.9)+('Step 2 - Transformer Sizing'!$R$23*SIN(ACOS(0.9))))/240*100</f>
        <v>0</v>
      </c>
      <c r="L196" s="77">
        <f t="shared" si="40"/>
        <v>30.238895936904786</v>
      </c>
      <c r="M196" s="77">
        <f t="shared" si="41"/>
        <v>19.271984225623608</v>
      </c>
      <c r="N196" s="77">
        <f t="shared" si="42"/>
        <v>12.421679592326718</v>
      </c>
      <c r="O196" s="77">
        <f t="shared" si="43"/>
        <v>6.5003823921080546</v>
      </c>
      <c r="P196" s="77">
        <f t="shared" si="44"/>
        <v>10.066705814670417</v>
      </c>
      <c r="Q196" s="77">
        <f t="shared" si="45"/>
        <v>6.594921725623605</v>
      </c>
      <c r="R196" s="77">
        <f t="shared" si="46"/>
        <v>4.2907211144517552</v>
      </c>
      <c r="S196" s="77">
        <f t="shared" si="47"/>
        <v>3.2219501365767949</v>
      </c>
    </row>
    <row r="197" spans="1:19" ht="14.25" x14ac:dyDescent="0.2">
      <c r="A197" s="79">
        <v>187</v>
      </c>
      <c r="B197" s="78">
        <v>779</v>
      </c>
      <c r="C197" s="77">
        <f t="shared" si="32"/>
        <v>39.189560123290917</v>
      </c>
      <c r="D197" s="77">
        <f t="shared" si="33"/>
        <v>23.647890820651522</v>
      </c>
      <c r="E197" s="77">
        <f t="shared" si="34"/>
        <v>13.017387656521215</v>
      </c>
      <c r="F197" s="77">
        <f t="shared" si="35"/>
        <v>8.3800268975151546</v>
      </c>
      <c r="G197" s="77">
        <f t="shared" si="36"/>
        <v>5.4770965180121225</v>
      </c>
      <c r="H197" s="77">
        <f t="shared" si="37"/>
        <v>3.4597009487575763</v>
      </c>
      <c r="I197" s="77">
        <f t="shared" si="38"/>
        <v>2.7339683538818194</v>
      </c>
      <c r="J197" s="77">
        <f t="shared" si="39"/>
        <v>1.7252705692545458</v>
      </c>
      <c r="K197" s="272">
        <f>+B197*(('Step 2 - Transformer Sizing'!$R$22*0.9)+('Step 2 - Transformer Sizing'!$R$23*SIN(ACOS(0.9))))/240*100</f>
        <v>0</v>
      </c>
      <c r="L197" s="77">
        <f t="shared" si="40"/>
        <v>30.394967657869458</v>
      </c>
      <c r="M197" s="77">
        <f t="shared" si="41"/>
        <v>19.371452531304246</v>
      </c>
      <c r="N197" s="77">
        <f t="shared" si="42"/>
        <v>12.485791486996792</v>
      </c>
      <c r="O197" s="77">
        <f t="shared" si="43"/>
        <v>6.5339327528415163</v>
      </c>
      <c r="P197" s="77">
        <f t="shared" si="44"/>
        <v>10.118663005971943</v>
      </c>
      <c r="Q197" s="77">
        <f t="shared" si="45"/>
        <v>6.6289600313042429</v>
      </c>
      <c r="R197" s="77">
        <f t="shared" si="46"/>
        <v>4.3128667718166671</v>
      </c>
      <c r="S197" s="77">
        <f t="shared" si="47"/>
        <v>3.2385795566365463</v>
      </c>
    </row>
    <row r="198" spans="1:19" ht="14.25" x14ac:dyDescent="0.2">
      <c r="A198" s="79">
        <v>188</v>
      </c>
      <c r="B198" s="78">
        <v>783</v>
      </c>
      <c r="C198" s="77">
        <f t="shared" si="32"/>
        <v>39.390790213782786</v>
      </c>
      <c r="D198" s="77">
        <f t="shared" si="33"/>
        <v>23.769317731155507</v>
      </c>
      <c r="E198" s="77">
        <f t="shared" si="34"/>
        <v>13.084229184924407</v>
      </c>
      <c r="F198" s="77">
        <f t="shared" si="35"/>
        <v>8.4230565606602887</v>
      </c>
      <c r="G198" s="77">
        <f t="shared" si="36"/>
        <v>5.5052202485282304</v>
      </c>
      <c r="H198" s="77">
        <f t="shared" si="37"/>
        <v>3.4774657803301445</v>
      </c>
      <c r="I198" s="77">
        <f t="shared" si="38"/>
        <v>2.74800670229713</v>
      </c>
      <c r="J198" s="77">
        <f t="shared" si="39"/>
        <v>1.7341294681980868</v>
      </c>
      <c r="K198" s="272">
        <f>+B198*(('Step 2 - Transformer Sizing'!$R$22*0.9)+('Step 2 - Transformer Sizing'!$R$23*SIN(ACOS(0.9))))/240*100</f>
        <v>0</v>
      </c>
      <c r="L198" s="77">
        <f t="shared" si="40"/>
        <v>30.551039378834126</v>
      </c>
      <c r="M198" s="77">
        <f t="shared" si="41"/>
        <v>19.470920836984885</v>
      </c>
      <c r="N198" s="77">
        <f t="shared" si="42"/>
        <v>12.549903381666864</v>
      </c>
      <c r="O198" s="77">
        <f t="shared" si="43"/>
        <v>6.5674831135749763</v>
      </c>
      <c r="P198" s="77">
        <f t="shared" si="44"/>
        <v>10.170620197273465</v>
      </c>
      <c r="Q198" s="77">
        <f t="shared" si="45"/>
        <v>6.6629983369848809</v>
      </c>
      <c r="R198" s="77">
        <f t="shared" si="46"/>
        <v>4.3350124291815799</v>
      </c>
      <c r="S198" s="77">
        <f t="shared" si="47"/>
        <v>3.2552089766962973</v>
      </c>
    </row>
    <row r="199" spans="1:19" ht="14.25" x14ac:dyDescent="0.2">
      <c r="A199" s="79">
        <v>189</v>
      </c>
      <c r="B199" s="78">
        <v>788</v>
      </c>
      <c r="C199" s="77">
        <f t="shared" si="32"/>
        <v>39.642327826897613</v>
      </c>
      <c r="D199" s="77">
        <f t="shared" si="33"/>
        <v>23.921101369285491</v>
      </c>
      <c r="E199" s="77">
        <f t="shared" si="34"/>
        <v>13.167781095428394</v>
      </c>
      <c r="F199" s="77">
        <f t="shared" si="35"/>
        <v>8.4768436395917099</v>
      </c>
      <c r="G199" s="77">
        <f t="shared" si="36"/>
        <v>5.540374911673366</v>
      </c>
      <c r="H199" s="77">
        <f t="shared" si="37"/>
        <v>3.4996718197958541</v>
      </c>
      <c r="I199" s="77">
        <f t="shared" si="38"/>
        <v>2.765554637816269</v>
      </c>
      <c r="J199" s="77">
        <f t="shared" si="39"/>
        <v>1.7452030918775125</v>
      </c>
      <c r="K199" s="272">
        <f>+B199*(('Step 2 - Transformer Sizing'!$R$22*0.9)+('Step 2 - Transformer Sizing'!$R$23*SIN(ACOS(0.9))))/240*100</f>
        <v>0</v>
      </c>
      <c r="L199" s="77">
        <f t="shared" si="40"/>
        <v>30.746129030039963</v>
      </c>
      <c r="M199" s="77">
        <f t="shared" si="41"/>
        <v>19.59525621908568</v>
      </c>
      <c r="N199" s="77">
        <f t="shared" si="42"/>
        <v>12.630043250004455</v>
      </c>
      <c r="O199" s="77">
        <f t="shared" si="43"/>
        <v>6.6094210644918032</v>
      </c>
      <c r="P199" s="77">
        <f t="shared" si="44"/>
        <v>10.235566686400373</v>
      </c>
      <c r="Q199" s="77">
        <f t="shared" si="45"/>
        <v>6.7055462190856785</v>
      </c>
      <c r="R199" s="77">
        <f t="shared" si="46"/>
        <v>4.36269450088772</v>
      </c>
      <c r="S199" s="77">
        <f t="shared" si="47"/>
        <v>3.2759957517709859</v>
      </c>
    </row>
    <row r="200" spans="1:19" ht="14.25" x14ac:dyDescent="0.2">
      <c r="A200" s="79">
        <v>190</v>
      </c>
      <c r="B200" s="78">
        <v>792</v>
      </c>
      <c r="C200" s="77">
        <f t="shared" si="32"/>
        <v>39.843557917389475</v>
      </c>
      <c r="D200" s="77">
        <f t="shared" si="33"/>
        <v>24.042528279789479</v>
      </c>
      <c r="E200" s="77">
        <f t="shared" si="34"/>
        <v>13.234622623831582</v>
      </c>
      <c r="F200" s="77">
        <f t="shared" si="35"/>
        <v>8.5198733027368441</v>
      </c>
      <c r="G200" s="77">
        <f t="shared" si="36"/>
        <v>5.5684986421894749</v>
      </c>
      <c r="H200" s="77">
        <f t="shared" si="37"/>
        <v>3.5174366513684219</v>
      </c>
      <c r="I200" s="77">
        <f t="shared" si="38"/>
        <v>2.7795929862315796</v>
      </c>
      <c r="J200" s="77">
        <f t="shared" si="39"/>
        <v>1.7540619908210535</v>
      </c>
      <c r="K200" s="272">
        <f>+B200*(('Step 2 - Transformer Sizing'!$R$22*0.9)+('Step 2 - Transformer Sizing'!$R$23*SIN(ACOS(0.9))))/240*100</f>
        <v>0</v>
      </c>
      <c r="L200" s="77">
        <f t="shared" si="40"/>
        <v>30.902200751004639</v>
      </c>
      <c r="M200" s="77">
        <f t="shared" si="41"/>
        <v>19.694724524766318</v>
      </c>
      <c r="N200" s="77">
        <f t="shared" si="42"/>
        <v>12.694155144674529</v>
      </c>
      <c r="O200" s="77">
        <f t="shared" si="43"/>
        <v>6.642971425225265</v>
      </c>
      <c r="P200" s="77">
        <f t="shared" si="44"/>
        <v>10.287523877701895</v>
      </c>
      <c r="Q200" s="77">
        <f t="shared" si="45"/>
        <v>6.7395845247663164</v>
      </c>
      <c r="R200" s="77">
        <f t="shared" si="46"/>
        <v>4.3848401582526328</v>
      </c>
      <c r="S200" s="77">
        <f t="shared" si="47"/>
        <v>3.2926251718307373</v>
      </c>
    </row>
    <row r="201" spans="1:19" ht="14.25" x14ac:dyDescent="0.2">
      <c r="A201" s="79">
        <v>191</v>
      </c>
      <c r="B201" s="78">
        <v>796</v>
      </c>
      <c r="C201" s="77">
        <f t="shared" si="32"/>
        <v>40.044788007881344</v>
      </c>
      <c r="D201" s="77">
        <f t="shared" si="33"/>
        <v>24.163955190293464</v>
      </c>
      <c r="E201" s="77">
        <f t="shared" si="34"/>
        <v>13.301464152234773</v>
      </c>
      <c r="F201" s="77">
        <f t="shared" si="35"/>
        <v>8.56290296588198</v>
      </c>
      <c r="G201" s="77">
        <f t="shared" si="36"/>
        <v>5.5966223727055837</v>
      </c>
      <c r="H201" s="77">
        <f t="shared" si="37"/>
        <v>3.5352014829409897</v>
      </c>
      <c r="I201" s="77">
        <f t="shared" si="38"/>
        <v>2.7936313346468906</v>
      </c>
      <c r="J201" s="77">
        <f t="shared" si="39"/>
        <v>1.762920889764594</v>
      </c>
      <c r="K201" s="272">
        <f>+B201*(('Step 2 - Transformer Sizing'!$R$22*0.9)+('Step 2 - Transformer Sizing'!$R$23*SIN(ACOS(0.9))))/240*100</f>
        <v>0</v>
      </c>
      <c r="L201" s="77">
        <f t="shared" si="40"/>
        <v>31.058272471969307</v>
      </c>
      <c r="M201" s="77">
        <f t="shared" si="41"/>
        <v>19.794192830446956</v>
      </c>
      <c r="N201" s="77">
        <f t="shared" si="42"/>
        <v>12.758267039344604</v>
      </c>
      <c r="O201" s="77">
        <f t="shared" si="43"/>
        <v>6.6765217859587249</v>
      </c>
      <c r="P201" s="77">
        <f t="shared" si="44"/>
        <v>10.339481069003421</v>
      </c>
      <c r="Q201" s="77">
        <f t="shared" si="45"/>
        <v>6.7736228304469543</v>
      </c>
      <c r="R201" s="77">
        <f t="shared" si="46"/>
        <v>4.4069858156175448</v>
      </c>
      <c r="S201" s="77">
        <f t="shared" si="47"/>
        <v>3.3092545918904892</v>
      </c>
    </row>
    <row r="202" spans="1:19" ht="14.25" x14ac:dyDescent="0.2">
      <c r="A202" s="79">
        <v>192</v>
      </c>
      <c r="B202" s="78">
        <v>800</v>
      </c>
      <c r="C202" s="77">
        <f t="shared" ref="C202:C255" si="48">+B202*((0.108*0.9)+(0.054*SIN(ACOS(0.9))))/240*100</f>
        <v>40.246018098373213</v>
      </c>
      <c r="D202" s="77">
        <f t="shared" ref="D202:D255" si="49">+B202*((0.064*0.9)+(0.035*SIN(ACOS(0.9))))/240*100</f>
        <v>24.285382100797452</v>
      </c>
      <c r="E202" s="77">
        <f t="shared" ref="E202:E255" si="50">+B202*((0.031*0.9)+(0.028*SIN(ACOS(0.9))))/240*100</f>
        <v>13.368305680637963</v>
      </c>
      <c r="F202" s="77">
        <f t="shared" ref="F202:F255" si="51">+B202*((0.019*0.9)+(0.02*SIN(ACOS(0.9))))/240*100</f>
        <v>8.6059326290271141</v>
      </c>
      <c r="G202" s="77">
        <f t="shared" ref="G202:G255" si="52">+B202*((0.011*0.9)+(0.016*SIN(ACOS(0.9))))/240*100</f>
        <v>5.6247461032216917</v>
      </c>
      <c r="H202" s="77">
        <f t="shared" ref="H202:H255" si="53">+B202*((0.007*0.9)+(0.01*SIN(ACOS(0.9))))/240*100</f>
        <v>3.5529663145135579</v>
      </c>
      <c r="I202" s="77">
        <f t="shared" ref="I202:I255" si="54">+B202*((0.005*0.9)+(0.009*SIN(ACOS(0.9))))/240*100</f>
        <v>2.8076696830622017</v>
      </c>
      <c r="J202" s="77">
        <f t="shared" ref="J202:J255" si="55">+B202*((0.003*0.9)+(0.006*SIN(ACOS(0.9))))/240*100</f>
        <v>1.7717797887081346</v>
      </c>
      <c r="K202" s="272">
        <f>+B202*(('Step 2 - Transformer Sizing'!$R$22*0.9)+('Step 2 - Transformer Sizing'!$R$23*SIN(ACOS(0.9))))/240*100</f>
        <v>0</v>
      </c>
      <c r="L202" s="77">
        <f t="shared" ref="L202:L255" si="56">+$B202*((0.506/1000*100*0.9)+(0.0294/1000*100*SIN(ACOS(0.9))))/240*100*2</f>
        <v>31.214344192933979</v>
      </c>
      <c r="M202" s="77">
        <f t="shared" ref="M202:M255" si="57">+$B202*((0.318/1000*100*0.9)+(0.028/1000*100*SIN(ACOS(0.9))))/240*100*2</f>
        <v>19.893661136127598</v>
      </c>
      <c r="N202" s="77">
        <f t="shared" ref="N202:N255" si="58">+$B202*((0.2/1000*100*0.9)+(0.0283/1000*100*SIN(ACOS(0.9))))/240*100*2</f>
        <v>12.822378934014674</v>
      </c>
      <c r="O202" s="77">
        <f t="shared" ref="O202:O255" si="59">+$B202*((0.099/1000*100*0.9)+(0.0265/1000*100*SIN(ACOS(0.9))))/240*100*2</f>
        <v>6.7100721466921867</v>
      </c>
      <c r="P202" s="77">
        <f t="shared" ref="P202:P255" si="60">+$B202*((0.159/1000*100*0.9)+(0.0293/1000*100*SIN(ACOS(0.9))))/240*100*2</f>
        <v>10.391438260304946</v>
      </c>
      <c r="Q202" s="77">
        <f t="shared" ref="Q202:Q255" si="61">+$B202*((0.0999/1000*100*0.9)+(0.028/1000*100*SIN(ACOS(0.9))))/240*100*2</f>
        <v>6.8076611361275923</v>
      </c>
      <c r="R202" s="77">
        <f t="shared" ref="R202:R255" si="62">+$B202*((0.0605/1000*100*0.9)+(0.0275/1000*100*SIN(ACOS(0.9))))/240*100*2</f>
        <v>4.4291314729824576</v>
      </c>
      <c r="S202" s="77">
        <f t="shared" ref="S202:S255" si="63">+$B202*((0.0425/1000*100*0.9)+(0.0267/1000*100*SIN(ACOS(0.9))))/240*100*2</f>
        <v>3.3258840119502397</v>
      </c>
    </row>
    <row r="203" spans="1:19" ht="14.25" x14ac:dyDescent="0.2">
      <c r="A203" s="79">
        <v>193</v>
      </c>
      <c r="B203" s="78">
        <v>804</v>
      </c>
      <c r="C203" s="77">
        <f t="shared" si="48"/>
        <v>40.447248188865075</v>
      </c>
      <c r="D203" s="77">
        <f t="shared" si="49"/>
        <v>24.406809011301441</v>
      </c>
      <c r="E203" s="77">
        <f t="shared" si="50"/>
        <v>13.435147209041151</v>
      </c>
      <c r="F203" s="77">
        <f t="shared" si="51"/>
        <v>8.64896229217225</v>
      </c>
      <c r="G203" s="77">
        <f t="shared" si="52"/>
        <v>5.6528698337377996</v>
      </c>
      <c r="H203" s="77">
        <f t="shared" si="53"/>
        <v>3.5707311460861249</v>
      </c>
      <c r="I203" s="77">
        <f t="shared" si="54"/>
        <v>2.8217080314775123</v>
      </c>
      <c r="J203" s="77">
        <f t="shared" si="55"/>
        <v>1.7806386876516751</v>
      </c>
      <c r="K203" s="272">
        <f>+B203*(('Step 2 - Transformer Sizing'!$R$22*0.9)+('Step 2 - Transformer Sizing'!$R$23*SIN(ACOS(0.9))))/240*100</f>
        <v>0</v>
      </c>
      <c r="L203" s="77">
        <f t="shared" si="56"/>
        <v>31.370415913898647</v>
      </c>
      <c r="M203" s="77">
        <f t="shared" si="57"/>
        <v>19.993129441808232</v>
      </c>
      <c r="N203" s="77">
        <f t="shared" si="58"/>
        <v>12.886490828684749</v>
      </c>
      <c r="O203" s="77">
        <f t="shared" si="59"/>
        <v>6.7436225074256466</v>
      </c>
      <c r="P203" s="77">
        <f t="shared" si="60"/>
        <v>10.44339545160647</v>
      </c>
      <c r="Q203" s="77">
        <f t="shared" si="61"/>
        <v>6.8416994418082311</v>
      </c>
      <c r="R203" s="77">
        <f t="shared" si="62"/>
        <v>4.4512771303473686</v>
      </c>
      <c r="S203" s="77">
        <f t="shared" si="63"/>
        <v>3.3425134320099907</v>
      </c>
    </row>
    <row r="204" spans="1:19" ht="14.25" x14ac:dyDescent="0.2">
      <c r="A204" s="79">
        <v>194</v>
      </c>
      <c r="B204" s="78">
        <v>808</v>
      </c>
      <c r="C204" s="77">
        <f t="shared" si="48"/>
        <v>40.648478279356944</v>
      </c>
      <c r="D204" s="77">
        <f t="shared" si="49"/>
        <v>24.528235921805429</v>
      </c>
      <c r="E204" s="77">
        <f t="shared" si="50"/>
        <v>13.501988737444343</v>
      </c>
      <c r="F204" s="77">
        <f t="shared" si="51"/>
        <v>8.6919919553173859</v>
      </c>
      <c r="G204" s="77">
        <f t="shared" si="52"/>
        <v>5.6809935642539084</v>
      </c>
      <c r="H204" s="77">
        <f t="shared" si="53"/>
        <v>3.5884959776586927</v>
      </c>
      <c r="I204" s="77">
        <f t="shared" si="54"/>
        <v>2.8357463798928237</v>
      </c>
      <c r="J204" s="77">
        <f t="shared" si="55"/>
        <v>1.7894975865952161</v>
      </c>
      <c r="K204" s="272">
        <f>+B204*(('Step 2 - Transformer Sizing'!$R$22*0.9)+('Step 2 - Transformer Sizing'!$R$23*SIN(ACOS(0.9))))/240*100</f>
        <v>0</v>
      </c>
      <c r="L204" s="77">
        <f t="shared" si="56"/>
        <v>31.526487634863308</v>
      </c>
      <c r="M204" s="77">
        <f t="shared" si="57"/>
        <v>20.09259774748887</v>
      </c>
      <c r="N204" s="77">
        <f t="shared" si="58"/>
        <v>12.950602723354823</v>
      </c>
      <c r="O204" s="77">
        <f t="shared" si="59"/>
        <v>6.7771728681591075</v>
      </c>
      <c r="P204" s="77">
        <f t="shared" si="60"/>
        <v>10.495352642907996</v>
      </c>
      <c r="Q204" s="77">
        <f t="shared" si="61"/>
        <v>6.8757377474888681</v>
      </c>
      <c r="R204" s="77">
        <f t="shared" si="62"/>
        <v>4.4734227877122814</v>
      </c>
      <c r="S204" s="77">
        <f t="shared" si="63"/>
        <v>3.3591428520697422</v>
      </c>
    </row>
    <row r="205" spans="1:19" ht="14.25" x14ac:dyDescent="0.2">
      <c r="A205" s="79">
        <v>195</v>
      </c>
      <c r="B205" s="78">
        <v>813</v>
      </c>
      <c r="C205" s="77">
        <f t="shared" si="48"/>
        <v>40.900015892471778</v>
      </c>
      <c r="D205" s="77">
        <f t="shared" si="49"/>
        <v>24.68001955993541</v>
      </c>
      <c r="E205" s="77">
        <f t="shared" si="50"/>
        <v>13.58554064794833</v>
      </c>
      <c r="F205" s="77">
        <f t="shared" si="51"/>
        <v>8.7457790342488053</v>
      </c>
      <c r="G205" s="77">
        <f t="shared" si="52"/>
        <v>5.716148227399044</v>
      </c>
      <c r="H205" s="77">
        <f t="shared" si="53"/>
        <v>3.6107020171244031</v>
      </c>
      <c r="I205" s="77">
        <f t="shared" si="54"/>
        <v>2.8532943154119623</v>
      </c>
      <c r="J205" s="77">
        <f t="shared" si="55"/>
        <v>1.8005712102746418</v>
      </c>
      <c r="K205" s="272">
        <f>+B205*(('Step 2 - Transformer Sizing'!$R$22*0.9)+('Step 2 - Transformer Sizing'!$R$23*SIN(ACOS(0.9))))/240*100</f>
        <v>0</v>
      </c>
      <c r="L205" s="77">
        <f t="shared" si="56"/>
        <v>31.721577286069152</v>
      </c>
      <c r="M205" s="77">
        <f t="shared" si="57"/>
        <v>20.216933129589666</v>
      </c>
      <c r="N205" s="77">
        <f t="shared" si="58"/>
        <v>13.030742591692416</v>
      </c>
      <c r="O205" s="77">
        <f t="shared" si="59"/>
        <v>6.8191108190759335</v>
      </c>
      <c r="P205" s="77">
        <f t="shared" si="60"/>
        <v>10.560299132034903</v>
      </c>
      <c r="Q205" s="77">
        <f t="shared" si="61"/>
        <v>6.9182856295896666</v>
      </c>
      <c r="R205" s="77">
        <f t="shared" si="62"/>
        <v>4.5011048594184224</v>
      </c>
      <c r="S205" s="77">
        <f t="shared" si="63"/>
        <v>3.3799296271444312</v>
      </c>
    </row>
    <row r="206" spans="1:19" ht="14.25" x14ac:dyDescent="0.2">
      <c r="A206" s="79">
        <v>196</v>
      </c>
      <c r="B206" s="78">
        <v>817</v>
      </c>
      <c r="C206" s="77">
        <f t="shared" si="48"/>
        <v>41.10124598296364</v>
      </c>
      <c r="D206" s="77">
        <f t="shared" si="49"/>
        <v>24.801446470439398</v>
      </c>
      <c r="E206" s="77">
        <f t="shared" si="50"/>
        <v>13.652382176351521</v>
      </c>
      <c r="F206" s="77">
        <f t="shared" si="51"/>
        <v>8.7888086973939412</v>
      </c>
      <c r="G206" s="77">
        <f t="shared" si="52"/>
        <v>5.744271957915152</v>
      </c>
      <c r="H206" s="77">
        <f t="shared" si="53"/>
        <v>3.62846684869697</v>
      </c>
      <c r="I206" s="77">
        <f t="shared" si="54"/>
        <v>2.8673326638272734</v>
      </c>
      <c r="J206" s="77">
        <f t="shared" si="55"/>
        <v>1.8094301092181828</v>
      </c>
      <c r="K206" s="272">
        <f>+B206*(('Step 2 - Transformer Sizing'!$R$22*0.9)+('Step 2 - Transformer Sizing'!$R$23*SIN(ACOS(0.9))))/240*100</f>
        <v>0</v>
      </c>
      <c r="L206" s="77">
        <f t="shared" si="56"/>
        <v>31.877649007033821</v>
      </c>
      <c r="M206" s="77">
        <f t="shared" si="57"/>
        <v>20.316401435270308</v>
      </c>
      <c r="N206" s="77">
        <f t="shared" si="58"/>
        <v>13.094854486362486</v>
      </c>
      <c r="O206" s="77">
        <f t="shared" si="59"/>
        <v>6.8526611798093953</v>
      </c>
      <c r="P206" s="77">
        <f t="shared" si="60"/>
        <v>10.612256323336426</v>
      </c>
      <c r="Q206" s="77">
        <f t="shared" si="61"/>
        <v>6.9523239352703037</v>
      </c>
      <c r="R206" s="77">
        <f t="shared" si="62"/>
        <v>4.5232505167833343</v>
      </c>
      <c r="S206" s="77">
        <f t="shared" si="63"/>
        <v>3.3965590472041827</v>
      </c>
    </row>
    <row r="207" spans="1:19" ht="14.25" x14ac:dyDescent="0.2">
      <c r="A207" s="79">
        <v>197</v>
      </c>
      <c r="B207" s="78">
        <v>821</v>
      </c>
      <c r="C207" s="77">
        <f t="shared" si="48"/>
        <v>41.302476073455516</v>
      </c>
      <c r="D207" s="77">
        <f t="shared" si="49"/>
        <v>24.922873380943383</v>
      </c>
      <c r="E207" s="77">
        <f t="shared" si="50"/>
        <v>13.719223704754709</v>
      </c>
      <c r="F207" s="77">
        <f t="shared" si="51"/>
        <v>8.8318383605390771</v>
      </c>
      <c r="G207" s="77">
        <f t="shared" si="52"/>
        <v>5.7723956884312608</v>
      </c>
      <c r="H207" s="77">
        <f t="shared" si="53"/>
        <v>3.6462316802695383</v>
      </c>
      <c r="I207" s="77">
        <f t="shared" si="54"/>
        <v>2.8813710122425844</v>
      </c>
      <c r="J207" s="77">
        <f t="shared" si="55"/>
        <v>1.8182890081617231</v>
      </c>
      <c r="K207" s="272">
        <f>+B207*(('Step 2 - Transformer Sizing'!$R$22*0.9)+('Step 2 - Transformer Sizing'!$R$23*SIN(ACOS(0.9))))/240*100</f>
        <v>0</v>
      </c>
      <c r="L207" s="77">
        <f t="shared" si="56"/>
        <v>32.033720727998485</v>
      </c>
      <c r="M207" s="77">
        <f t="shared" si="57"/>
        <v>20.415869740950942</v>
      </c>
      <c r="N207" s="77">
        <f t="shared" si="58"/>
        <v>13.158966381032561</v>
      </c>
      <c r="O207" s="77">
        <f t="shared" si="59"/>
        <v>6.8862115405428552</v>
      </c>
      <c r="P207" s="77">
        <f t="shared" si="60"/>
        <v>10.66421351463795</v>
      </c>
      <c r="Q207" s="77">
        <f t="shared" si="61"/>
        <v>6.9863622409509425</v>
      </c>
      <c r="R207" s="77">
        <f t="shared" si="62"/>
        <v>4.5453961741482463</v>
      </c>
      <c r="S207" s="77">
        <f t="shared" si="63"/>
        <v>3.4131884672639341</v>
      </c>
    </row>
    <row r="208" spans="1:19" ht="14.25" x14ac:dyDescent="0.2">
      <c r="A208" s="79">
        <v>198</v>
      </c>
      <c r="B208" s="78">
        <v>825</v>
      </c>
      <c r="C208" s="77">
        <f t="shared" si="48"/>
        <v>41.503706163947371</v>
      </c>
      <c r="D208" s="77">
        <f t="shared" si="49"/>
        <v>25.044300291447374</v>
      </c>
      <c r="E208" s="77">
        <f t="shared" si="50"/>
        <v>13.786065233157899</v>
      </c>
      <c r="F208" s="77">
        <f t="shared" si="51"/>
        <v>8.8748680236842148</v>
      </c>
      <c r="G208" s="77">
        <f t="shared" si="52"/>
        <v>5.8005194189473697</v>
      </c>
      <c r="H208" s="77">
        <f t="shared" si="53"/>
        <v>3.6639965118421061</v>
      </c>
      <c r="I208" s="77">
        <f t="shared" si="54"/>
        <v>2.8954093606578954</v>
      </c>
      <c r="J208" s="77">
        <f t="shared" si="55"/>
        <v>1.8271479071052639</v>
      </c>
      <c r="K208" s="272">
        <f>+B208*(('Step 2 - Transformer Sizing'!$R$22*0.9)+('Step 2 - Transformer Sizing'!$R$23*SIN(ACOS(0.9))))/240*100</f>
        <v>0</v>
      </c>
      <c r="L208" s="77">
        <f t="shared" si="56"/>
        <v>32.189792448963161</v>
      </c>
      <c r="M208" s="77">
        <f t="shared" si="57"/>
        <v>20.515338046631584</v>
      </c>
      <c r="N208" s="77">
        <f t="shared" si="58"/>
        <v>13.223078275702635</v>
      </c>
      <c r="O208" s="77">
        <f t="shared" si="59"/>
        <v>6.919761901276317</v>
      </c>
      <c r="P208" s="77">
        <f t="shared" si="60"/>
        <v>10.716170705939474</v>
      </c>
      <c r="Q208" s="77">
        <f t="shared" si="61"/>
        <v>7.0204005466315795</v>
      </c>
      <c r="R208" s="77">
        <f t="shared" si="62"/>
        <v>4.5675418315131582</v>
      </c>
      <c r="S208" s="77">
        <f t="shared" si="63"/>
        <v>3.4298178873236851</v>
      </c>
    </row>
    <row r="209" spans="1:19" ht="14.25" x14ac:dyDescent="0.2">
      <c r="A209" s="79">
        <v>199</v>
      </c>
      <c r="B209" s="78">
        <v>829</v>
      </c>
      <c r="C209" s="77">
        <f t="shared" si="48"/>
        <v>41.704936254439239</v>
      </c>
      <c r="D209" s="77">
        <f t="shared" si="49"/>
        <v>25.165727201951359</v>
      </c>
      <c r="E209" s="77">
        <f t="shared" si="50"/>
        <v>13.852906761561091</v>
      </c>
      <c r="F209" s="77">
        <f t="shared" si="51"/>
        <v>8.9178976868293489</v>
      </c>
      <c r="G209" s="77">
        <f t="shared" si="52"/>
        <v>5.8286431494634776</v>
      </c>
      <c r="H209" s="77">
        <f t="shared" si="53"/>
        <v>3.6817613434146739</v>
      </c>
      <c r="I209" s="77">
        <f t="shared" si="54"/>
        <v>2.909447709073206</v>
      </c>
      <c r="J209" s="77">
        <f t="shared" si="55"/>
        <v>1.8360068060488046</v>
      </c>
      <c r="K209" s="272">
        <f>+B209*(('Step 2 - Transformer Sizing'!$R$22*0.9)+('Step 2 - Transformer Sizing'!$R$23*SIN(ACOS(0.9))))/240*100</f>
        <v>0</v>
      </c>
      <c r="L209" s="77">
        <f t="shared" si="56"/>
        <v>32.345864169927829</v>
      </c>
      <c r="M209" s="77">
        <f t="shared" si="57"/>
        <v>20.614806352312222</v>
      </c>
      <c r="N209" s="77">
        <f t="shared" si="58"/>
        <v>13.287190170372709</v>
      </c>
      <c r="O209" s="77">
        <f t="shared" si="59"/>
        <v>6.9533122620097769</v>
      </c>
      <c r="P209" s="77">
        <f t="shared" si="60"/>
        <v>10.768127897241001</v>
      </c>
      <c r="Q209" s="77">
        <f t="shared" si="61"/>
        <v>7.0544388523122183</v>
      </c>
      <c r="R209" s="77">
        <f t="shared" si="62"/>
        <v>4.589687488878071</v>
      </c>
      <c r="S209" s="77">
        <f t="shared" si="63"/>
        <v>3.4464473073834365</v>
      </c>
    </row>
    <row r="210" spans="1:19" ht="14.25" x14ac:dyDescent="0.2">
      <c r="A210" s="79">
        <v>200</v>
      </c>
      <c r="B210" s="78">
        <v>833</v>
      </c>
      <c r="C210" s="77">
        <f t="shared" si="48"/>
        <v>41.906166344931108</v>
      </c>
      <c r="D210" s="77">
        <f t="shared" si="49"/>
        <v>25.287154112455351</v>
      </c>
      <c r="E210" s="77">
        <f t="shared" si="50"/>
        <v>13.919748289964279</v>
      </c>
      <c r="F210" s="77">
        <f t="shared" si="51"/>
        <v>8.9609273499744848</v>
      </c>
      <c r="G210" s="77">
        <f t="shared" si="52"/>
        <v>5.8567668799795864</v>
      </c>
      <c r="H210" s="77">
        <f t="shared" si="53"/>
        <v>3.6995261749872421</v>
      </c>
      <c r="I210" s="77">
        <f t="shared" si="54"/>
        <v>2.9234860574885175</v>
      </c>
      <c r="J210" s="77">
        <f t="shared" si="55"/>
        <v>1.8448657049923451</v>
      </c>
      <c r="K210" s="272">
        <f>+B210*(('Step 2 - Transformer Sizing'!$R$22*0.9)+('Step 2 - Transformer Sizing'!$R$23*SIN(ACOS(0.9))))/240*100</f>
        <v>0</v>
      </c>
      <c r="L210" s="77">
        <f t="shared" si="56"/>
        <v>32.501935890892504</v>
      </c>
      <c r="M210" s="77">
        <f t="shared" si="57"/>
        <v>20.71427465799286</v>
      </c>
      <c r="N210" s="77">
        <f t="shared" si="58"/>
        <v>13.35130206504278</v>
      </c>
      <c r="O210" s="77">
        <f t="shared" si="59"/>
        <v>6.9868626227432378</v>
      </c>
      <c r="P210" s="77">
        <f t="shared" si="60"/>
        <v>10.820085088542525</v>
      </c>
      <c r="Q210" s="77">
        <f t="shared" si="61"/>
        <v>7.0884771579928563</v>
      </c>
      <c r="R210" s="77">
        <f t="shared" si="62"/>
        <v>4.6118331462429838</v>
      </c>
      <c r="S210" s="77">
        <f t="shared" si="63"/>
        <v>3.463076727443188</v>
      </c>
    </row>
    <row r="211" spans="1:19" ht="14.25" x14ac:dyDescent="0.2">
      <c r="A211" s="79">
        <v>201</v>
      </c>
      <c r="B211" s="78">
        <v>838</v>
      </c>
      <c r="C211" s="77">
        <f t="shared" si="48"/>
        <v>42.157703958045936</v>
      </c>
      <c r="D211" s="77">
        <f t="shared" si="49"/>
        <v>25.438937750585332</v>
      </c>
      <c r="E211" s="77">
        <f t="shared" si="50"/>
        <v>14.003300200468264</v>
      </c>
      <c r="F211" s="77">
        <f t="shared" si="51"/>
        <v>9.0147144289059042</v>
      </c>
      <c r="G211" s="77">
        <f t="shared" si="52"/>
        <v>5.891921543124722</v>
      </c>
      <c r="H211" s="77">
        <f t="shared" si="53"/>
        <v>3.7217322144529517</v>
      </c>
      <c r="I211" s="77">
        <f t="shared" si="54"/>
        <v>2.9410339930076561</v>
      </c>
      <c r="J211" s="77">
        <f t="shared" si="55"/>
        <v>1.8559393286717709</v>
      </c>
      <c r="K211" s="272">
        <f>+B211*(('Step 2 - Transformer Sizing'!$R$22*0.9)+('Step 2 - Transformer Sizing'!$R$23*SIN(ACOS(0.9))))/240*100</f>
        <v>0</v>
      </c>
      <c r="L211" s="77">
        <f t="shared" si="56"/>
        <v>32.697025542098338</v>
      </c>
      <c r="M211" s="77">
        <f t="shared" si="57"/>
        <v>20.838610040093656</v>
      </c>
      <c r="N211" s="77">
        <f t="shared" si="58"/>
        <v>13.431441933380375</v>
      </c>
      <c r="O211" s="77">
        <f t="shared" si="59"/>
        <v>7.0288005736600638</v>
      </c>
      <c r="P211" s="77">
        <f t="shared" si="60"/>
        <v>10.88503157766943</v>
      </c>
      <c r="Q211" s="77">
        <f t="shared" si="61"/>
        <v>7.1310250400936539</v>
      </c>
      <c r="R211" s="77">
        <f t="shared" si="62"/>
        <v>4.6395152179491239</v>
      </c>
      <c r="S211" s="77">
        <f t="shared" si="63"/>
        <v>3.483863502517877</v>
      </c>
    </row>
    <row r="212" spans="1:19" ht="14.25" x14ac:dyDescent="0.2">
      <c r="A212" s="79">
        <v>202</v>
      </c>
      <c r="B212" s="78">
        <v>842</v>
      </c>
      <c r="C212" s="77">
        <f t="shared" si="48"/>
        <v>42.358934048537805</v>
      </c>
      <c r="D212" s="77">
        <f t="shared" si="49"/>
        <v>25.56036466108932</v>
      </c>
      <c r="E212" s="77">
        <f t="shared" si="50"/>
        <v>14.070141728871455</v>
      </c>
      <c r="F212" s="77">
        <f t="shared" si="51"/>
        <v>9.0577440920510401</v>
      </c>
      <c r="G212" s="77">
        <f t="shared" si="52"/>
        <v>5.92004527364083</v>
      </c>
      <c r="H212" s="77">
        <f t="shared" si="53"/>
        <v>3.7394970460255195</v>
      </c>
      <c r="I212" s="77">
        <f t="shared" si="54"/>
        <v>2.9550723414229672</v>
      </c>
      <c r="J212" s="77">
        <f t="shared" si="55"/>
        <v>1.8647982276153114</v>
      </c>
      <c r="K212" s="272">
        <f>+B212*(('Step 2 - Transformer Sizing'!$R$22*0.9)+('Step 2 - Transformer Sizing'!$R$23*SIN(ACOS(0.9))))/240*100</f>
        <v>0</v>
      </c>
      <c r="L212" s="77">
        <f t="shared" si="56"/>
        <v>32.853097263063006</v>
      </c>
      <c r="M212" s="77">
        <f t="shared" si="57"/>
        <v>20.938078345774294</v>
      </c>
      <c r="N212" s="77">
        <f t="shared" si="58"/>
        <v>13.495553828050447</v>
      </c>
      <c r="O212" s="77">
        <f t="shared" si="59"/>
        <v>7.0623509343935273</v>
      </c>
      <c r="P212" s="77">
        <f t="shared" si="60"/>
        <v>10.936988768970956</v>
      </c>
      <c r="Q212" s="77">
        <f t="shared" si="61"/>
        <v>7.1650633457742918</v>
      </c>
      <c r="R212" s="77">
        <f t="shared" si="62"/>
        <v>4.6616608753140358</v>
      </c>
      <c r="S212" s="77">
        <f t="shared" si="63"/>
        <v>3.5004929225776276</v>
      </c>
    </row>
    <row r="213" spans="1:19" ht="14.25" x14ac:dyDescent="0.2">
      <c r="A213" s="79">
        <v>203</v>
      </c>
      <c r="B213" s="78">
        <v>846</v>
      </c>
      <c r="C213" s="77">
        <f t="shared" si="48"/>
        <v>42.560164139029673</v>
      </c>
      <c r="D213" s="77">
        <f t="shared" si="49"/>
        <v>25.681791571593305</v>
      </c>
      <c r="E213" s="77">
        <f t="shared" si="50"/>
        <v>14.136983257274643</v>
      </c>
      <c r="F213" s="77">
        <f t="shared" si="51"/>
        <v>9.1007737551961743</v>
      </c>
      <c r="G213" s="77">
        <f t="shared" si="52"/>
        <v>5.9481690041569379</v>
      </c>
      <c r="H213" s="77">
        <f t="shared" si="53"/>
        <v>3.7572618775980873</v>
      </c>
      <c r="I213" s="77">
        <f t="shared" si="54"/>
        <v>2.9691106898382782</v>
      </c>
      <c r="J213" s="77">
        <f t="shared" si="55"/>
        <v>1.8736571265588524</v>
      </c>
      <c r="K213" s="272">
        <f>+B213*(('Step 2 - Transformer Sizing'!$R$22*0.9)+('Step 2 - Transformer Sizing'!$R$23*SIN(ACOS(0.9))))/240*100</f>
        <v>0</v>
      </c>
      <c r="L213" s="77">
        <f t="shared" si="56"/>
        <v>33.009168984027674</v>
      </c>
      <c r="M213" s="77">
        <f t="shared" si="57"/>
        <v>21.037546651454932</v>
      </c>
      <c r="N213" s="77">
        <f t="shared" si="58"/>
        <v>13.559665722720519</v>
      </c>
      <c r="O213" s="77">
        <f t="shared" si="59"/>
        <v>7.0959012951269873</v>
      </c>
      <c r="P213" s="77">
        <f t="shared" si="60"/>
        <v>10.988945960272481</v>
      </c>
      <c r="Q213" s="77">
        <f t="shared" si="61"/>
        <v>7.199101651454928</v>
      </c>
      <c r="R213" s="77">
        <f t="shared" si="62"/>
        <v>4.6838065326789486</v>
      </c>
      <c r="S213" s="77">
        <f t="shared" si="63"/>
        <v>3.517122342637379</v>
      </c>
    </row>
    <row r="214" spans="1:19" ht="14.25" x14ac:dyDescent="0.2">
      <c r="A214" s="79">
        <v>204</v>
      </c>
      <c r="B214" s="78">
        <v>850</v>
      </c>
      <c r="C214" s="77">
        <f t="shared" si="48"/>
        <v>42.761394229521535</v>
      </c>
      <c r="D214" s="77">
        <f t="shared" si="49"/>
        <v>25.803218482097297</v>
      </c>
      <c r="E214" s="77">
        <f t="shared" si="50"/>
        <v>14.203824785677835</v>
      </c>
      <c r="F214" s="77">
        <f t="shared" si="51"/>
        <v>9.1438034183413102</v>
      </c>
      <c r="G214" s="77">
        <f t="shared" si="52"/>
        <v>5.9762927346730468</v>
      </c>
      <c r="H214" s="77">
        <f t="shared" si="53"/>
        <v>3.7750267091706551</v>
      </c>
      <c r="I214" s="77">
        <f t="shared" si="54"/>
        <v>2.9831490382535892</v>
      </c>
      <c r="J214" s="77">
        <f t="shared" si="55"/>
        <v>1.8825160255023934</v>
      </c>
      <c r="K214" s="272">
        <f>+B214*(('Step 2 - Transformer Sizing'!$R$22*0.9)+('Step 2 - Transformer Sizing'!$R$23*SIN(ACOS(0.9))))/240*100</f>
        <v>0</v>
      </c>
      <c r="L214" s="77">
        <f t="shared" si="56"/>
        <v>33.16524070499235</v>
      </c>
      <c r="M214" s="77">
        <f t="shared" si="57"/>
        <v>21.137014957135573</v>
      </c>
      <c r="N214" s="77">
        <f t="shared" si="58"/>
        <v>13.623777617390592</v>
      </c>
      <c r="O214" s="77">
        <f t="shared" si="59"/>
        <v>7.1294516558604482</v>
      </c>
      <c r="P214" s="77">
        <f t="shared" si="60"/>
        <v>11.040903151574005</v>
      </c>
      <c r="Q214" s="77">
        <f t="shared" si="61"/>
        <v>7.2331399571355677</v>
      </c>
      <c r="R214" s="77">
        <f t="shared" si="62"/>
        <v>4.7059521900438606</v>
      </c>
      <c r="S214" s="77">
        <f t="shared" si="63"/>
        <v>3.53375176269713</v>
      </c>
    </row>
    <row r="215" spans="1:19" ht="14.25" x14ac:dyDescent="0.2">
      <c r="A215" s="79">
        <v>205</v>
      </c>
      <c r="B215" s="78">
        <v>854</v>
      </c>
      <c r="C215" s="77">
        <f t="shared" si="48"/>
        <v>42.962624320013397</v>
      </c>
      <c r="D215" s="77">
        <f t="shared" si="49"/>
        <v>25.924645392601281</v>
      </c>
      <c r="E215" s="77">
        <f t="shared" si="50"/>
        <v>14.270666314081023</v>
      </c>
      <c r="F215" s="77">
        <f t="shared" si="51"/>
        <v>9.1868330814864443</v>
      </c>
      <c r="G215" s="77">
        <f t="shared" si="52"/>
        <v>6.0044164651891556</v>
      </c>
      <c r="H215" s="77">
        <f t="shared" si="53"/>
        <v>3.7927915407432224</v>
      </c>
      <c r="I215" s="77">
        <f t="shared" si="54"/>
        <v>2.9971873866689003</v>
      </c>
      <c r="J215" s="77">
        <f t="shared" si="55"/>
        <v>1.8913749244459335</v>
      </c>
      <c r="K215" s="272">
        <f>+B215*(('Step 2 - Transformer Sizing'!$R$22*0.9)+('Step 2 - Transformer Sizing'!$R$23*SIN(ACOS(0.9))))/240*100</f>
        <v>0</v>
      </c>
      <c r="L215" s="77">
        <f t="shared" si="56"/>
        <v>33.321312425957018</v>
      </c>
      <c r="M215" s="77">
        <f t="shared" si="57"/>
        <v>21.236483262816208</v>
      </c>
      <c r="N215" s="77">
        <f t="shared" si="58"/>
        <v>13.687889512060666</v>
      </c>
      <c r="O215" s="77">
        <f t="shared" si="59"/>
        <v>7.1630020165939081</v>
      </c>
      <c r="P215" s="77">
        <f t="shared" si="60"/>
        <v>11.092860342875529</v>
      </c>
      <c r="Q215" s="77">
        <f t="shared" si="61"/>
        <v>7.2671782628162038</v>
      </c>
      <c r="R215" s="77">
        <f t="shared" si="62"/>
        <v>4.7280978474087725</v>
      </c>
      <c r="S215" s="77">
        <f t="shared" si="63"/>
        <v>3.550381182756881</v>
      </c>
    </row>
    <row r="216" spans="1:19" ht="14.25" x14ac:dyDescent="0.2">
      <c r="A216" s="79">
        <v>206</v>
      </c>
      <c r="B216" s="78">
        <v>858</v>
      </c>
      <c r="C216" s="77">
        <f t="shared" si="48"/>
        <v>43.163854410505273</v>
      </c>
      <c r="D216" s="77">
        <f t="shared" si="49"/>
        <v>26.046072303105266</v>
      </c>
      <c r="E216" s="77">
        <f t="shared" si="50"/>
        <v>14.337507842484213</v>
      </c>
      <c r="F216" s="77">
        <f t="shared" si="51"/>
        <v>9.229862744631582</v>
      </c>
      <c r="G216" s="77">
        <f t="shared" si="52"/>
        <v>6.0325401957052636</v>
      </c>
      <c r="H216" s="77">
        <f t="shared" si="53"/>
        <v>3.8105563723157903</v>
      </c>
      <c r="I216" s="77">
        <f t="shared" si="54"/>
        <v>3.0112257350842113</v>
      </c>
      <c r="J216" s="77">
        <f t="shared" si="55"/>
        <v>1.9002338233894744</v>
      </c>
      <c r="K216" s="272">
        <f>+B216*(('Step 2 - Transformer Sizing'!$R$22*0.9)+('Step 2 - Transformer Sizing'!$R$23*SIN(ACOS(0.9))))/240*100</f>
        <v>0</v>
      </c>
      <c r="L216" s="77">
        <f t="shared" si="56"/>
        <v>33.477384146921693</v>
      </c>
      <c r="M216" s="77">
        <f t="shared" si="57"/>
        <v>21.335951568496846</v>
      </c>
      <c r="N216" s="77">
        <f t="shared" si="58"/>
        <v>13.752001406730738</v>
      </c>
      <c r="O216" s="77">
        <f t="shared" si="59"/>
        <v>7.1965523773273699</v>
      </c>
      <c r="P216" s="77">
        <f t="shared" si="60"/>
        <v>11.144817534177056</v>
      </c>
      <c r="Q216" s="77">
        <f t="shared" si="61"/>
        <v>7.3012165684968435</v>
      </c>
      <c r="R216" s="77">
        <f t="shared" si="62"/>
        <v>4.7502435047736853</v>
      </c>
      <c r="S216" s="77">
        <f t="shared" si="63"/>
        <v>3.5670106028166324</v>
      </c>
    </row>
    <row r="217" spans="1:19" ht="14.25" x14ac:dyDescent="0.2">
      <c r="A217" s="79">
        <v>207</v>
      </c>
      <c r="B217" s="78">
        <v>863</v>
      </c>
      <c r="C217" s="77">
        <f t="shared" si="48"/>
        <v>43.4153920236201</v>
      </c>
      <c r="D217" s="77">
        <f t="shared" si="49"/>
        <v>26.197855941235254</v>
      </c>
      <c r="E217" s="77">
        <f t="shared" si="50"/>
        <v>14.421059752988203</v>
      </c>
      <c r="F217" s="77">
        <f t="shared" si="51"/>
        <v>9.2836498235629996</v>
      </c>
      <c r="G217" s="77">
        <f t="shared" si="52"/>
        <v>6.0676948588504001</v>
      </c>
      <c r="H217" s="77">
        <f t="shared" si="53"/>
        <v>3.8327624117814998</v>
      </c>
      <c r="I217" s="77">
        <f t="shared" si="54"/>
        <v>3.0287736706033503</v>
      </c>
      <c r="J217" s="77">
        <f t="shared" si="55"/>
        <v>1.9113074470689002</v>
      </c>
      <c r="K217" s="272">
        <f>+B217*(('Step 2 - Transformer Sizing'!$R$22*0.9)+('Step 2 - Transformer Sizing'!$R$23*SIN(ACOS(0.9))))/240*100</f>
        <v>0</v>
      </c>
      <c r="L217" s="77">
        <f t="shared" si="56"/>
        <v>33.672473798127527</v>
      </c>
      <c r="M217" s="77">
        <f t="shared" si="57"/>
        <v>21.460286950597641</v>
      </c>
      <c r="N217" s="77">
        <f t="shared" si="58"/>
        <v>13.832141275068333</v>
      </c>
      <c r="O217" s="77">
        <f t="shared" si="59"/>
        <v>7.2384903282441959</v>
      </c>
      <c r="P217" s="77">
        <f t="shared" si="60"/>
        <v>11.209764023303959</v>
      </c>
      <c r="Q217" s="77">
        <f t="shared" si="61"/>
        <v>7.3437644505976394</v>
      </c>
      <c r="R217" s="77">
        <f t="shared" si="62"/>
        <v>4.7779255764798254</v>
      </c>
      <c r="S217" s="77">
        <f t="shared" si="63"/>
        <v>3.587797377891321</v>
      </c>
    </row>
    <row r="218" spans="1:19" ht="14.25" x14ac:dyDescent="0.2">
      <c r="A218" s="79">
        <v>208</v>
      </c>
      <c r="B218" s="78">
        <v>867</v>
      </c>
      <c r="C218" s="77">
        <f t="shared" si="48"/>
        <v>43.616622114111969</v>
      </c>
      <c r="D218" s="77">
        <f t="shared" si="49"/>
        <v>26.319282851739239</v>
      </c>
      <c r="E218" s="77">
        <f t="shared" si="50"/>
        <v>14.487901281391391</v>
      </c>
      <c r="F218" s="77">
        <f t="shared" si="51"/>
        <v>9.3266794867081373</v>
      </c>
      <c r="G218" s="77">
        <f t="shared" si="52"/>
        <v>6.0958185893665089</v>
      </c>
      <c r="H218" s="77">
        <f t="shared" si="53"/>
        <v>3.8505272433540676</v>
      </c>
      <c r="I218" s="77">
        <f t="shared" si="54"/>
        <v>3.0428120190186609</v>
      </c>
      <c r="J218" s="77">
        <f t="shared" si="55"/>
        <v>1.9201663460124407</v>
      </c>
      <c r="K218" s="272">
        <f>+B218*(('Step 2 - Transformer Sizing'!$R$22*0.9)+('Step 2 - Transformer Sizing'!$R$23*SIN(ACOS(0.9))))/240*100</f>
        <v>0</v>
      </c>
      <c r="L218" s="77">
        <f t="shared" si="56"/>
        <v>33.828545519092195</v>
      </c>
      <c r="M218" s="77">
        <f t="shared" si="57"/>
        <v>21.559755256278283</v>
      </c>
      <c r="N218" s="77">
        <f t="shared" si="58"/>
        <v>13.896253169738406</v>
      </c>
      <c r="O218" s="77">
        <f t="shared" si="59"/>
        <v>7.2720406889776577</v>
      </c>
      <c r="P218" s="77">
        <f t="shared" si="60"/>
        <v>11.261721214605485</v>
      </c>
      <c r="Q218" s="77">
        <f t="shared" si="61"/>
        <v>7.3778027562782791</v>
      </c>
      <c r="R218" s="77">
        <f t="shared" si="62"/>
        <v>4.8000712338447373</v>
      </c>
      <c r="S218" s="77">
        <f t="shared" si="63"/>
        <v>3.6044267979510729</v>
      </c>
    </row>
    <row r="219" spans="1:19" ht="14.25" x14ac:dyDescent="0.2">
      <c r="A219" s="79">
        <v>209</v>
      </c>
      <c r="B219" s="78">
        <v>871</v>
      </c>
      <c r="C219" s="77">
        <f t="shared" si="48"/>
        <v>43.817852204603838</v>
      </c>
      <c r="D219" s="77">
        <f t="shared" si="49"/>
        <v>26.440709762243227</v>
      </c>
      <c r="E219" s="77">
        <f t="shared" si="50"/>
        <v>14.554742809794579</v>
      </c>
      <c r="F219" s="77">
        <f t="shared" si="51"/>
        <v>9.3697091498532714</v>
      </c>
      <c r="G219" s="77">
        <f t="shared" si="52"/>
        <v>6.1239423198826168</v>
      </c>
      <c r="H219" s="77">
        <f t="shared" si="53"/>
        <v>3.8682920749266358</v>
      </c>
      <c r="I219" s="77">
        <f t="shared" si="54"/>
        <v>3.056850367433972</v>
      </c>
      <c r="J219" s="77">
        <f t="shared" si="55"/>
        <v>1.9290252449559817</v>
      </c>
      <c r="K219" s="272">
        <f>+B219*(('Step 2 - Transformer Sizing'!$R$22*0.9)+('Step 2 - Transformer Sizing'!$R$23*SIN(ACOS(0.9))))/240*100</f>
        <v>0</v>
      </c>
      <c r="L219" s="77">
        <f t="shared" si="56"/>
        <v>33.98461724005687</v>
      </c>
      <c r="M219" s="77">
        <f t="shared" si="57"/>
        <v>21.659223561958918</v>
      </c>
      <c r="N219" s="77">
        <f t="shared" si="58"/>
        <v>13.960365064408478</v>
      </c>
      <c r="O219" s="77">
        <f t="shared" si="59"/>
        <v>7.3055910497111176</v>
      </c>
      <c r="P219" s="77">
        <f t="shared" si="60"/>
        <v>11.313678405907011</v>
      </c>
      <c r="Q219" s="77">
        <f t="shared" si="61"/>
        <v>7.411841061958917</v>
      </c>
      <c r="R219" s="77">
        <f t="shared" si="62"/>
        <v>4.8222168912096501</v>
      </c>
      <c r="S219" s="77">
        <f t="shared" si="63"/>
        <v>3.6210562180108234</v>
      </c>
    </row>
    <row r="220" spans="1:19" ht="14.25" x14ac:dyDescent="0.2">
      <c r="A220" s="79">
        <v>210</v>
      </c>
      <c r="B220" s="78">
        <v>875</v>
      </c>
      <c r="C220" s="77">
        <f t="shared" si="48"/>
        <v>44.019082295095693</v>
      </c>
      <c r="D220" s="77">
        <f t="shared" si="49"/>
        <v>26.562136672747211</v>
      </c>
      <c r="E220" s="77">
        <f t="shared" si="50"/>
        <v>14.621584338197771</v>
      </c>
      <c r="F220" s="77">
        <f t="shared" si="51"/>
        <v>9.4127388129984073</v>
      </c>
      <c r="G220" s="77">
        <f t="shared" si="52"/>
        <v>6.1520660503987257</v>
      </c>
      <c r="H220" s="77">
        <f t="shared" si="53"/>
        <v>3.8860569064992037</v>
      </c>
      <c r="I220" s="77">
        <f t="shared" si="54"/>
        <v>3.070888715849283</v>
      </c>
      <c r="J220" s="77">
        <f t="shared" si="55"/>
        <v>1.9378841438995222</v>
      </c>
      <c r="K220" s="272">
        <f>+B220*(('Step 2 - Transformer Sizing'!$R$22*0.9)+('Step 2 - Transformer Sizing'!$R$23*SIN(ACOS(0.9))))/240*100</f>
        <v>0</v>
      </c>
      <c r="L220" s="77">
        <f t="shared" si="56"/>
        <v>34.140688961021532</v>
      </c>
      <c r="M220" s="77">
        <f t="shared" si="57"/>
        <v>21.758691867639556</v>
      </c>
      <c r="N220" s="77">
        <f t="shared" si="58"/>
        <v>14.02447695907855</v>
      </c>
      <c r="O220" s="77">
        <f t="shared" si="59"/>
        <v>7.3391414104445785</v>
      </c>
      <c r="P220" s="77">
        <f t="shared" si="60"/>
        <v>11.365635597208534</v>
      </c>
      <c r="Q220" s="77">
        <f t="shared" si="61"/>
        <v>7.4458793676395549</v>
      </c>
      <c r="R220" s="77">
        <f t="shared" si="62"/>
        <v>4.8443625485745629</v>
      </c>
      <c r="S220" s="77">
        <f t="shared" si="63"/>
        <v>3.6376856380705749</v>
      </c>
    </row>
    <row r="221" spans="1:19" ht="14.25" x14ac:dyDescent="0.2">
      <c r="A221" s="79">
        <v>211</v>
      </c>
      <c r="B221" s="78">
        <v>879</v>
      </c>
      <c r="C221" s="77">
        <f t="shared" si="48"/>
        <v>44.220312385587569</v>
      </c>
      <c r="D221" s="77">
        <f t="shared" si="49"/>
        <v>26.683563583251203</v>
      </c>
      <c r="E221" s="77">
        <f t="shared" si="50"/>
        <v>14.68842586660096</v>
      </c>
      <c r="F221" s="77">
        <f t="shared" si="51"/>
        <v>9.4557684761435414</v>
      </c>
      <c r="G221" s="77">
        <f t="shared" si="52"/>
        <v>6.1801897809148336</v>
      </c>
      <c r="H221" s="77">
        <f t="shared" si="53"/>
        <v>3.9038217380717706</v>
      </c>
      <c r="I221" s="77">
        <f t="shared" si="54"/>
        <v>3.0849270642645936</v>
      </c>
      <c r="J221" s="77">
        <f t="shared" si="55"/>
        <v>1.9467430428430628</v>
      </c>
      <c r="K221" s="272">
        <f>+B221*(('Step 2 - Transformer Sizing'!$R$22*0.9)+('Step 2 - Transformer Sizing'!$R$23*SIN(ACOS(0.9))))/240*100</f>
        <v>0</v>
      </c>
      <c r="L221" s="77">
        <f t="shared" si="56"/>
        <v>34.296760681986207</v>
      </c>
      <c r="M221" s="77">
        <f t="shared" si="57"/>
        <v>21.858160173320197</v>
      </c>
      <c r="N221" s="77">
        <f t="shared" si="58"/>
        <v>14.088588853748623</v>
      </c>
      <c r="O221" s="77">
        <f t="shared" si="59"/>
        <v>7.3726917711780384</v>
      </c>
      <c r="P221" s="77">
        <f t="shared" si="60"/>
        <v>11.41759278851006</v>
      </c>
      <c r="Q221" s="77">
        <f t="shared" si="61"/>
        <v>7.4799176733201929</v>
      </c>
      <c r="R221" s="77">
        <f t="shared" si="62"/>
        <v>4.8665082059394749</v>
      </c>
      <c r="S221" s="77">
        <f t="shared" si="63"/>
        <v>3.6543150581303268</v>
      </c>
    </row>
    <row r="222" spans="1:19" ht="14.25" x14ac:dyDescent="0.2">
      <c r="A222" s="79">
        <v>212</v>
      </c>
      <c r="B222" s="78">
        <v>883</v>
      </c>
      <c r="C222" s="77">
        <f t="shared" si="48"/>
        <v>44.421542476079438</v>
      </c>
      <c r="D222" s="77">
        <f t="shared" si="49"/>
        <v>26.804990493755188</v>
      </c>
      <c r="E222" s="77">
        <f t="shared" si="50"/>
        <v>14.755267395004152</v>
      </c>
      <c r="F222" s="77">
        <f t="shared" si="51"/>
        <v>9.4987981392886791</v>
      </c>
      <c r="G222" s="77">
        <f t="shared" si="52"/>
        <v>6.2083135114309425</v>
      </c>
      <c r="H222" s="77">
        <f t="shared" si="53"/>
        <v>3.9215865696443393</v>
      </c>
      <c r="I222" s="77">
        <f t="shared" si="54"/>
        <v>3.0989654126799051</v>
      </c>
      <c r="J222" s="77">
        <f t="shared" si="55"/>
        <v>1.9556019417866037</v>
      </c>
      <c r="K222" s="272">
        <f>+B222*(('Step 2 - Transformer Sizing'!$R$22*0.9)+('Step 2 - Transformer Sizing'!$R$23*SIN(ACOS(0.9))))/240*100</f>
        <v>0</v>
      </c>
      <c r="L222" s="77">
        <f t="shared" si="56"/>
        <v>34.452832402950875</v>
      </c>
      <c r="M222" s="77">
        <f t="shared" si="57"/>
        <v>21.957628479000835</v>
      </c>
      <c r="N222" s="77">
        <f t="shared" si="58"/>
        <v>14.152700748418697</v>
      </c>
      <c r="O222" s="77">
        <f t="shared" si="59"/>
        <v>7.4062421319115002</v>
      </c>
      <c r="P222" s="77">
        <f t="shared" si="60"/>
        <v>11.469549979811584</v>
      </c>
      <c r="Q222" s="77">
        <f t="shared" si="61"/>
        <v>7.513955979000829</v>
      </c>
      <c r="R222" s="77">
        <f t="shared" si="62"/>
        <v>4.8886538633043868</v>
      </c>
      <c r="S222" s="77">
        <f t="shared" si="63"/>
        <v>3.6709444781900773</v>
      </c>
    </row>
    <row r="223" spans="1:19" ht="14.25" x14ac:dyDescent="0.2">
      <c r="A223" s="79">
        <v>213</v>
      </c>
      <c r="B223" s="78">
        <v>888</v>
      </c>
      <c r="C223" s="77">
        <f t="shared" si="48"/>
        <v>44.673080089194265</v>
      </c>
      <c r="D223" s="77">
        <f t="shared" si="49"/>
        <v>26.956774131885176</v>
      </c>
      <c r="E223" s="77">
        <f t="shared" si="50"/>
        <v>14.838819305508139</v>
      </c>
      <c r="F223" s="77">
        <f t="shared" si="51"/>
        <v>9.5525852182200968</v>
      </c>
      <c r="G223" s="77">
        <f t="shared" si="52"/>
        <v>6.2434681745760772</v>
      </c>
      <c r="H223" s="77">
        <f t="shared" si="53"/>
        <v>3.9437926091100493</v>
      </c>
      <c r="I223" s="77">
        <f t="shared" si="54"/>
        <v>3.1165133481990437</v>
      </c>
      <c r="J223" s="77">
        <f t="shared" si="55"/>
        <v>1.9666755654660295</v>
      </c>
      <c r="K223" s="272">
        <f>+B223*(('Step 2 - Transformer Sizing'!$R$22*0.9)+('Step 2 - Transformer Sizing'!$R$23*SIN(ACOS(0.9))))/240*100</f>
        <v>0</v>
      </c>
      <c r="L223" s="77">
        <f t="shared" si="56"/>
        <v>34.647922054156709</v>
      </c>
      <c r="M223" s="77">
        <f t="shared" si="57"/>
        <v>22.081963861101631</v>
      </c>
      <c r="N223" s="77">
        <f t="shared" si="58"/>
        <v>14.23284061675629</v>
      </c>
      <c r="O223" s="77">
        <f t="shared" si="59"/>
        <v>7.4481800828283262</v>
      </c>
      <c r="P223" s="77">
        <f t="shared" si="60"/>
        <v>11.534496468938491</v>
      </c>
      <c r="Q223" s="77">
        <f t="shared" si="61"/>
        <v>7.5565038611016284</v>
      </c>
      <c r="R223" s="77">
        <f t="shared" si="62"/>
        <v>4.9163359350105278</v>
      </c>
      <c r="S223" s="77">
        <f t="shared" si="63"/>
        <v>3.6917312532647664</v>
      </c>
    </row>
    <row r="224" spans="1:19" ht="14.25" x14ac:dyDescent="0.2">
      <c r="A224" s="79">
        <v>214</v>
      </c>
      <c r="B224" s="78">
        <v>892</v>
      </c>
      <c r="C224" s="77">
        <f t="shared" si="48"/>
        <v>44.874310179686127</v>
      </c>
      <c r="D224" s="77">
        <f t="shared" si="49"/>
        <v>27.078201042389161</v>
      </c>
      <c r="E224" s="77">
        <f t="shared" si="50"/>
        <v>14.905660833911327</v>
      </c>
      <c r="F224" s="77">
        <f t="shared" si="51"/>
        <v>9.5956148813652344</v>
      </c>
      <c r="G224" s="77">
        <f t="shared" si="52"/>
        <v>6.271591905092186</v>
      </c>
      <c r="H224" s="77">
        <f t="shared" si="53"/>
        <v>3.9615574406826162</v>
      </c>
      <c r="I224" s="77">
        <f t="shared" si="54"/>
        <v>3.1305516966143547</v>
      </c>
      <c r="J224" s="77">
        <f t="shared" si="55"/>
        <v>1.9755344644095698</v>
      </c>
      <c r="K224" s="272">
        <f>+B224*(('Step 2 - Transformer Sizing'!$R$22*0.9)+('Step 2 - Transformer Sizing'!$R$23*SIN(ACOS(0.9))))/240*100</f>
        <v>0</v>
      </c>
      <c r="L224" s="77">
        <f t="shared" si="56"/>
        <v>34.803993775121377</v>
      </c>
      <c r="M224" s="77">
        <f t="shared" si="57"/>
        <v>22.181432166782269</v>
      </c>
      <c r="N224" s="77">
        <f t="shared" si="58"/>
        <v>14.296952511426364</v>
      </c>
      <c r="O224" s="77">
        <f t="shared" si="59"/>
        <v>7.481730443561788</v>
      </c>
      <c r="P224" s="77">
        <f t="shared" si="60"/>
        <v>11.586453660240013</v>
      </c>
      <c r="Q224" s="77">
        <f t="shared" si="61"/>
        <v>7.5905421667822646</v>
      </c>
      <c r="R224" s="77">
        <f t="shared" si="62"/>
        <v>4.9384815923754397</v>
      </c>
      <c r="S224" s="77">
        <f t="shared" si="63"/>
        <v>3.7083606733245178</v>
      </c>
    </row>
    <row r="225" spans="1:19" ht="14.25" x14ac:dyDescent="0.2">
      <c r="A225" s="79">
        <v>215</v>
      </c>
      <c r="B225" s="78">
        <v>896</v>
      </c>
      <c r="C225" s="77">
        <f t="shared" si="48"/>
        <v>45.075540270178003</v>
      </c>
      <c r="D225" s="77">
        <f t="shared" si="49"/>
        <v>27.199627952893145</v>
      </c>
      <c r="E225" s="77">
        <f t="shared" si="50"/>
        <v>14.972502362314518</v>
      </c>
      <c r="F225" s="77">
        <f t="shared" si="51"/>
        <v>9.6386445445103686</v>
      </c>
      <c r="G225" s="77">
        <f t="shared" si="52"/>
        <v>6.2997156356082957</v>
      </c>
      <c r="H225" s="77">
        <f t="shared" si="53"/>
        <v>3.979322272255184</v>
      </c>
      <c r="I225" s="77">
        <f t="shared" si="54"/>
        <v>3.1445900450296653</v>
      </c>
      <c r="J225" s="77">
        <f t="shared" si="55"/>
        <v>1.9843933633531108</v>
      </c>
      <c r="K225" s="272">
        <f>+B225*(('Step 2 - Transformer Sizing'!$R$22*0.9)+('Step 2 - Transformer Sizing'!$R$23*SIN(ACOS(0.9))))/240*100</f>
        <v>0</v>
      </c>
      <c r="L225" s="77">
        <f t="shared" si="56"/>
        <v>34.960065496086052</v>
      </c>
      <c r="M225" s="77">
        <f t="shared" si="57"/>
        <v>22.280900472462907</v>
      </c>
      <c r="N225" s="77">
        <f t="shared" si="58"/>
        <v>14.361064406096435</v>
      </c>
      <c r="O225" s="77">
        <f t="shared" si="59"/>
        <v>7.5152808042952479</v>
      </c>
      <c r="P225" s="77">
        <f t="shared" si="60"/>
        <v>11.63841085154154</v>
      </c>
      <c r="Q225" s="77">
        <f t="shared" si="61"/>
        <v>7.6245804724629034</v>
      </c>
      <c r="R225" s="77">
        <f t="shared" si="62"/>
        <v>4.9606272497403525</v>
      </c>
      <c r="S225" s="77">
        <f t="shared" si="63"/>
        <v>3.7249900933842692</v>
      </c>
    </row>
    <row r="226" spans="1:19" ht="14.25" x14ac:dyDescent="0.2">
      <c r="A226" s="79">
        <v>216</v>
      </c>
      <c r="B226" s="78">
        <v>900</v>
      </c>
      <c r="C226" s="77">
        <f t="shared" si="48"/>
        <v>45.276770360669865</v>
      </c>
      <c r="D226" s="77">
        <f t="shared" si="49"/>
        <v>27.321054863397137</v>
      </c>
      <c r="E226" s="77">
        <f t="shared" si="50"/>
        <v>15.039343890717708</v>
      </c>
      <c r="F226" s="77">
        <f t="shared" si="51"/>
        <v>9.6816742076555045</v>
      </c>
      <c r="G226" s="77">
        <f t="shared" si="52"/>
        <v>6.3278393661244037</v>
      </c>
      <c r="H226" s="77">
        <f t="shared" si="53"/>
        <v>3.9970871038277527</v>
      </c>
      <c r="I226" s="77">
        <f t="shared" si="54"/>
        <v>3.1586283934449768</v>
      </c>
      <c r="J226" s="77">
        <f t="shared" si="55"/>
        <v>1.9932522622966515</v>
      </c>
      <c r="K226" s="272">
        <f>+B226*(('Step 2 - Transformer Sizing'!$R$22*0.9)+('Step 2 - Transformer Sizing'!$R$23*SIN(ACOS(0.9))))/240*100</f>
        <v>0</v>
      </c>
      <c r="L226" s="77">
        <f t="shared" si="56"/>
        <v>35.116137217050721</v>
      </c>
      <c r="M226" s="77">
        <f t="shared" si="57"/>
        <v>22.380368778143545</v>
      </c>
      <c r="N226" s="77">
        <f t="shared" si="58"/>
        <v>14.425176300766509</v>
      </c>
      <c r="O226" s="77">
        <f t="shared" si="59"/>
        <v>7.5488311650287088</v>
      </c>
      <c r="P226" s="77">
        <f t="shared" si="60"/>
        <v>11.690368042843065</v>
      </c>
      <c r="Q226" s="77">
        <f t="shared" si="61"/>
        <v>7.6586187781435413</v>
      </c>
      <c r="R226" s="77">
        <f t="shared" si="62"/>
        <v>4.9827729071052635</v>
      </c>
      <c r="S226" s="77">
        <f t="shared" si="63"/>
        <v>3.7416195134440202</v>
      </c>
    </row>
    <row r="227" spans="1:19" ht="14.25" x14ac:dyDescent="0.2">
      <c r="A227" s="79">
        <v>217</v>
      </c>
      <c r="B227" s="78">
        <v>904</v>
      </c>
      <c r="C227" s="77">
        <f t="shared" si="48"/>
        <v>45.478000451161726</v>
      </c>
      <c r="D227" s="77">
        <f t="shared" si="49"/>
        <v>27.442481773901122</v>
      </c>
      <c r="E227" s="77">
        <f t="shared" si="50"/>
        <v>15.106185419120896</v>
      </c>
      <c r="F227" s="77">
        <f t="shared" si="51"/>
        <v>9.7247038708006404</v>
      </c>
      <c r="G227" s="77">
        <f t="shared" si="52"/>
        <v>6.3559630966405116</v>
      </c>
      <c r="H227" s="77">
        <f t="shared" si="53"/>
        <v>4.01485193540032</v>
      </c>
      <c r="I227" s="77">
        <f t="shared" si="54"/>
        <v>3.1726667418602883</v>
      </c>
      <c r="J227" s="77">
        <f t="shared" si="55"/>
        <v>2.0021111612401921</v>
      </c>
      <c r="K227" s="272">
        <f>+B227*(('Step 2 - Transformer Sizing'!$R$22*0.9)+('Step 2 - Transformer Sizing'!$R$23*SIN(ACOS(0.9))))/240*100</f>
        <v>0</v>
      </c>
      <c r="L227" s="77">
        <f t="shared" si="56"/>
        <v>35.272208938015396</v>
      </c>
      <c r="M227" s="77">
        <f t="shared" si="57"/>
        <v>22.479837083824179</v>
      </c>
      <c r="N227" s="77">
        <f t="shared" si="58"/>
        <v>14.489288195436584</v>
      </c>
      <c r="O227" s="77">
        <f t="shared" si="59"/>
        <v>7.5823815257621687</v>
      </c>
      <c r="P227" s="77">
        <f t="shared" si="60"/>
        <v>11.742325234144587</v>
      </c>
      <c r="Q227" s="77">
        <f t="shared" si="61"/>
        <v>7.6926570838241792</v>
      </c>
      <c r="R227" s="77">
        <f t="shared" si="62"/>
        <v>5.0049185644701764</v>
      </c>
      <c r="S227" s="77">
        <f t="shared" si="63"/>
        <v>3.7582489335037708</v>
      </c>
    </row>
    <row r="228" spans="1:19" ht="14.25" x14ac:dyDescent="0.2">
      <c r="A228" s="79">
        <v>218</v>
      </c>
      <c r="B228" s="78">
        <v>908</v>
      </c>
      <c r="C228" s="77">
        <f t="shared" si="48"/>
        <v>45.679230541653595</v>
      </c>
      <c r="D228" s="77">
        <f t="shared" si="49"/>
        <v>27.56390868440511</v>
      </c>
      <c r="E228" s="77">
        <f t="shared" si="50"/>
        <v>15.173026947524088</v>
      </c>
      <c r="F228" s="77">
        <f t="shared" si="51"/>
        <v>9.7677335339457763</v>
      </c>
      <c r="G228" s="77">
        <f t="shared" si="52"/>
        <v>6.3840868271566196</v>
      </c>
      <c r="H228" s="77">
        <f t="shared" si="53"/>
        <v>4.0326167669728878</v>
      </c>
      <c r="I228" s="77">
        <f t="shared" si="54"/>
        <v>3.1867050902755989</v>
      </c>
      <c r="J228" s="77">
        <f t="shared" si="55"/>
        <v>2.0109700601837326</v>
      </c>
      <c r="K228" s="272">
        <f>+B228*(('Step 2 - Transformer Sizing'!$R$22*0.9)+('Step 2 - Transformer Sizing'!$R$23*SIN(ACOS(0.9))))/240*100</f>
        <v>0</v>
      </c>
      <c r="L228" s="77">
        <f t="shared" si="56"/>
        <v>35.428280658980057</v>
      </c>
      <c r="M228" s="77">
        <f t="shared" si="57"/>
        <v>22.579305389504821</v>
      </c>
      <c r="N228" s="77">
        <f t="shared" si="58"/>
        <v>14.553400090106654</v>
      </c>
      <c r="O228" s="77">
        <f t="shared" si="59"/>
        <v>7.6159318864956305</v>
      </c>
      <c r="P228" s="77">
        <f t="shared" si="60"/>
        <v>11.794282425446113</v>
      </c>
      <c r="Q228" s="77">
        <f t="shared" si="61"/>
        <v>7.7266953895048172</v>
      </c>
      <c r="R228" s="77">
        <f t="shared" si="62"/>
        <v>5.0270642218350883</v>
      </c>
      <c r="S228" s="77">
        <f t="shared" si="63"/>
        <v>3.7748783535635226</v>
      </c>
    </row>
    <row r="229" spans="1:19" ht="14.25" x14ac:dyDescent="0.2">
      <c r="A229" s="79">
        <v>219</v>
      </c>
      <c r="B229" s="78">
        <v>913</v>
      </c>
      <c r="C229" s="77">
        <f t="shared" si="48"/>
        <v>45.930768154768423</v>
      </c>
      <c r="D229" s="77">
        <f t="shared" si="49"/>
        <v>27.715692322535094</v>
      </c>
      <c r="E229" s="77">
        <f t="shared" si="50"/>
        <v>15.256578858028075</v>
      </c>
      <c r="F229" s="77">
        <f t="shared" si="51"/>
        <v>9.8215206128771957</v>
      </c>
      <c r="G229" s="77">
        <f t="shared" si="52"/>
        <v>6.4192414903017552</v>
      </c>
      <c r="H229" s="77">
        <f t="shared" si="53"/>
        <v>4.0548228064385974</v>
      </c>
      <c r="I229" s="77">
        <f t="shared" si="54"/>
        <v>3.2042530257947379</v>
      </c>
      <c r="J229" s="77">
        <f t="shared" si="55"/>
        <v>2.0220436838631586</v>
      </c>
      <c r="K229" s="272">
        <f>+B229*(('Step 2 - Transformer Sizing'!$R$22*0.9)+('Step 2 - Transformer Sizing'!$R$23*SIN(ACOS(0.9))))/240*100</f>
        <v>0</v>
      </c>
      <c r="L229" s="77">
        <f t="shared" si="56"/>
        <v>35.623370310185898</v>
      </c>
      <c r="M229" s="77">
        <f t="shared" si="57"/>
        <v>22.703640771605617</v>
      </c>
      <c r="N229" s="77">
        <f t="shared" si="58"/>
        <v>14.633539958444249</v>
      </c>
      <c r="O229" s="77">
        <f t="shared" si="59"/>
        <v>7.6578698374124565</v>
      </c>
      <c r="P229" s="77">
        <f t="shared" si="60"/>
        <v>11.85922891457302</v>
      </c>
      <c r="Q229" s="77">
        <f t="shared" si="61"/>
        <v>7.7692432716056148</v>
      </c>
      <c r="R229" s="77">
        <f t="shared" si="62"/>
        <v>5.0547462935412284</v>
      </c>
      <c r="S229" s="77">
        <f t="shared" si="63"/>
        <v>3.7956651286382113</v>
      </c>
    </row>
    <row r="230" spans="1:19" ht="14.25" x14ac:dyDescent="0.2">
      <c r="A230" s="79">
        <v>220</v>
      </c>
      <c r="B230" s="78">
        <v>917</v>
      </c>
      <c r="C230" s="77">
        <f t="shared" si="48"/>
        <v>46.131998245260299</v>
      </c>
      <c r="D230" s="77">
        <f t="shared" si="49"/>
        <v>27.837119233039083</v>
      </c>
      <c r="E230" s="77">
        <f t="shared" si="50"/>
        <v>15.323420386431266</v>
      </c>
      <c r="F230" s="77">
        <f t="shared" si="51"/>
        <v>9.8645502760223316</v>
      </c>
      <c r="G230" s="77">
        <f t="shared" si="52"/>
        <v>6.4473652208178631</v>
      </c>
      <c r="H230" s="77">
        <f t="shared" si="53"/>
        <v>4.0725876380111652</v>
      </c>
      <c r="I230" s="77">
        <f t="shared" si="54"/>
        <v>3.2182913742100485</v>
      </c>
      <c r="J230" s="77">
        <f t="shared" si="55"/>
        <v>2.0309025828066991</v>
      </c>
      <c r="K230" s="272">
        <f>+B230*(('Step 2 - Transformer Sizing'!$R$22*0.9)+('Step 2 - Transformer Sizing'!$R$23*SIN(ACOS(0.9))))/240*100</f>
        <v>0</v>
      </c>
      <c r="L230" s="77">
        <f t="shared" si="56"/>
        <v>35.779442031150573</v>
      </c>
      <c r="M230" s="77">
        <f t="shared" si="57"/>
        <v>22.803109077286258</v>
      </c>
      <c r="N230" s="77">
        <f t="shared" si="58"/>
        <v>14.697651853114325</v>
      </c>
      <c r="O230" s="77">
        <f t="shared" si="59"/>
        <v>7.6914201981459192</v>
      </c>
      <c r="P230" s="77">
        <f t="shared" si="60"/>
        <v>11.911186105874544</v>
      </c>
      <c r="Q230" s="77">
        <f t="shared" si="61"/>
        <v>7.8032815772862527</v>
      </c>
      <c r="R230" s="77">
        <f t="shared" si="62"/>
        <v>5.0768919509061403</v>
      </c>
      <c r="S230" s="77">
        <f t="shared" si="63"/>
        <v>3.8122945486979622</v>
      </c>
    </row>
    <row r="231" spans="1:19" ht="14.25" x14ac:dyDescent="0.2">
      <c r="A231" s="79">
        <v>221</v>
      </c>
      <c r="B231" s="78">
        <v>921</v>
      </c>
      <c r="C231" s="77">
        <f t="shared" si="48"/>
        <v>46.33322833575216</v>
      </c>
      <c r="D231" s="77">
        <f t="shared" si="49"/>
        <v>27.958546143543067</v>
      </c>
      <c r="E231" s="77">
        <f t="shared" si="50"/>
        <v>15.390261914834454</v>
      </c>
      <c r="F231" s="77">
        <f t="shared" si="51"/>
        <v>9.9075799391674675</v>
      </c>
      <c r="G231" s="77">
        <f t="shared" si="52"/>
        <v>6.4754889513339728</v>
      </c>
      <c r="H231" s="77">
        <f t="shared" si="53"/>
        <v>4.0903524695837339</v>
      </c>
      <c r="I231" s="77">
        <f t="shared" si="54"/>
        <v>3.2323297226253591</v>
      </c>
      <c r="J231" s="77">
        <f t="shared" si="55"/>
        <v>2.0397614817502401</v>
      </c>
      <c r="K231" s="272">
        <f>+B231*(('Step 2 - Transformer Sizing'!$R$22*0.9)+('Step 2 - Transformer Sizing'!$R$23*SIN(ACOS(0.9))))/240*100</f>
        <v>0</v>
      </c>
      <c r="L231" s="77">
        <f t="shared" si="56"/>
        <v>35.935513752115241</v>
      </c>
      <c r="M231" s="77">
        <f t="shared" si="57"/>
        <v>22.902577382966893</v>
      </c>
      <c r="N231" s="77">
        <f t="shared" si="58"/>
        <v>14.761763747784398</v>
      </c>
      <c r="O231" s="77">
        <f t="shared" si="59"/>
        <v>7.7249705588793791</v>
      </c>
      <c r="P231" s="77">
        <f t="shared" si="60"/>
        <v>11.963143297176069</v>
      </c>
      <c r="Q231" s="77">
        <f t="shared" si="61"/>
        <v>7.8373198829668906</v>
      </c>
      <c r="R231" s="77">
        <f t="shared" si="62"/>
        <v>5.099037608271054</v>
      </c>
      <c r="S231" s="77">
        <f t="shared" si="63"/>
        <v>3.8289239687577137</v>
      </c>
    </row>
    <row r="232" spans="1:19" ht="14.25" x14ac:dyDescent="0.2">
      <c r="A232" s="79">
        <v>222</v>
      </c>
      <c r="B232" s="78">
        <v>925</v>
      </c>
      <c r="C232" s="77">
        <f t="shared" si="48"/>
        <v>46.534458426244022</v>
      </c>
      <c r="D232" s="77">
        <f t="shared" si="49"/>
        <v>28.079973054047059</v>
      </c>
      <c r="E232" s="77">
        <f t="shared" si="50"/>
        <v>15.457103443237644</v>
      </c>
      <c r="F232" s="77">
        <f t="shared" si="51"/>
        <v>9.9506096023126016</v>
      </c>
      <c r="G232" s="77">
        <f t="shared" si="52"/>
        <v>6.5036126818500808</v>
      </c>
      <c r="H232" s="77">
        <f t="shared" si="53"/>
        <v>4.1081173011563008</v>
      </c>
      <c r="I232" s="77">
        <f t="shared" si="54"/>
        <v>3.2463680710406706</v>
      </c>
      <c r="J232" s="77">
        <f t="shared" si="55"/>
        <v>2.0486203806937811</v>
      </c>
      <c r="K232" s="272">
        <f>+B232*(('Step 2 - Transformer Sizing'!$R$22*0.9)+('Step 2 - Transformer Sizing'!$R$23*SIN(ACOS(0.9))))/240*100</f>
        <v>0</v>
      </c>
      <c r="L232" s="77">
        <f t="shared" si="56"/>
        <v>36.09158547307991</v>
      </c>
      <c r="M232" s="77">
        <f t="shared" si="57"/>
        <v>23.002045688647531</v>
      </c>
      <c r="N232" s="77">
        <f t="shared" si="58"/>
        <v>14.825875642454466</v>
      </c>
      <c r="O232" s="77">
        <f t="shared" si="59"/>
        <v>7.7585209196128408</v>
      </c>
      <c r="P232" s="77">
        <f t="shared" si="60"/>
        <v>12.015100488477595</v>
      </c>
      <c r="Q232" s="77">
        <f t="shared" si="61"/>
        <v>7.8713581886475286</v>
      </c>
      <c r="R232" s="77">
        <f t="shared" si="62"/>
        <v>5.1211832656359659</v>
      </c>
      <c r="S232" s="77">
        <f t="shared" si="63"/>
        <v>3.8455533888174651</v>
      </c>
    </row>
    <row r="233" spans="1:19" ht="14.25" x14ac:dyDescent="0.2">
      <c r="A233" s="79">
        <v>223</v>
      </c>
      <c r="B233" s="78">
        <v>929</v>
      </c>
      <c r="C233" s="77">
        <f t="shared" si="48"/>
        <v>46.735688516735891</v>
      </c>
      <c r="D233" s="77">
        <f t="shared" si="49"/>
        <v>28.201399964551044</v>
      </c>
      <c r="E233" s="77">
        <f t="shared" si="50"/>
        <v>15.523944971640836</v>
      </c>
      <c r="F233" s="77">
        <f t="shared" si="51"/>
        <v>9.9936392654577375</v>
      </c>
      <c r="G233" s="77">
        <f t="shared" si="52"/>
        <v>6.5317364123661887</v>
      </c>
      <c r="H233" s="77">
        <f t="shared" si="53"/>
        <v>4.1258821327288686</v>
      </c>
      <c r="I233" s="77">
        <f t="shared" si="54"/>
        <v>3.2604064194559816</v>
      </c>
      <c r="J233" s="77">
        <f t="shared" si="55"/>
        <v>2.0574792796373211</v>
      </c>
      <c r="K233" s="272">
        <f>+B233*(('Step 2 - Transformer Sizing'!$R$22*0.9)+('Step 2 - Transformer Sizing'!$R$23*SIN(ACOS(0.9))))/240*100</f>
        <v>0</v>
      </c>
      <c r="L233" s="77">
        <f t="shared" si="56"/>
        <v>36.247657194044578</v>
      </c>
      <c r="M233" s="77">
        <f t="shared" si="57"/>
        <v>23.101513994328169</v>
      </c>
      <c r="N233" s="77">
        <f t="shared" si="58"/>
        <v>14.889987537124542</v>
      </c>
      <c r="O233" s="77">
        <f t="shared" si="59"/>
        <v>7.7920712803463008</v>
      </c>
      <c r="P233" s="77">
        <f t="shared" si="60"/>
        <v>12.067057679779118</v>
      </c>
      <c r="Q233" s="77">
        <f t="shared" si="61"/>
        <v>7.9053964943281683</v>
      </c>
      <c r="R233" s="77">
        <f t="shared" si="62"/>
        <v>5.1433289230008779</v>
      </c>
      <c r="S233" s="77">
        <f t="shared" si="63"/>
        <v>3.8621828088772161</v>
      </c>
    </row>
    <row r="234" spans="1:19" ht="14.25" x14ac:dyDescent="0.2">
      <c r="A234" s="79">
        <v>224</v>
      </c>
      <c r="B234" s="78">
        <v>933</v>
      </c>
      <c r="C234" s="77">
        <f t="shared" si="48"/>
        <v>46.93691860722776</v>
      </c>
      <c r="D234" s="77">
        <f t="shared" si="49"/>
        <v>28.322826875055028</v>
      </c>
      <c r="E234" s="77">
        <f t="shared" si="50"/>
        <v>15.590786500044024</v>
      </c>
      <c r="F234" s="77">
        <f t="shared" si="51"/>
        <v>10.036668928602872</v>
      </c>
      <c r="G234" s="77">
        <f t="shared" si="52"/>
        <v>6.5598601428822967</v>
      </c>
      <c r="H234" s="77">
        <f t="shared" si="53"/>
        <v>4.1436469643014364</v>
      </c>
      <c r="I234" s="77">
        <f t="shared" si="54"/>
        <v>3.2744447678712922</v>
      </c>
      <c r="J234" s="77">
        <f t="shared" si="55"/>
        <v>2.0663381785808621</v>
      </c>
      <c r="K234" s="272">
        <f>+B234*(('Step 2 - Transformer Sizing'!$R$22*0.9)+('Step 2 - Transformer Sizing'!$R$23*SIN(ACOS(0.9))))/240*100</f>
        <v>0</v>
      </c>
      <c r="L234" s="77">
        <f t="shared" si="56"/>
        <v>36.403728915009239</v>
      </c>
      <c r="M234" s="77">
        <f t="shared" si="57"/>
        <v>23.20098230000881</v>
      </c>
      <c r="N234" s="77">
        <f t="shared" si="58"/>
        <v>14.954099431794615</v>
      </c>
      <c r="O234" s="77">
        <f t="shared" si="59"/>
        <v>7.8256216410797625</v>
      </c>
      <c r="P234" s="77">
        <f t="shared" si="60"/>
        <v>12.119014871080644</v>
      </c>
      <c r="Q234" s="77">
        <f t="shared" si="61"/>
        <v>7.9394348000088044</v>
      </c>
      <c r="R234" s="77">
        <f t="shared" si="62"/>
        <v>5.1654745803657907</v>
      </c>
      <c r="S234" s="77">
        <f t="shared" si="63"/>
        <v>3.8788122289369675</v>
      </c>
    </row>
    <row r="235" spans="1:19" ht="14.25" x14ac:dyDescent="0.2">
      <c r="A235" s="79">
        <v>225</v>
      </c>
      <c r="B235" s="78">
        <v>938</v>
      </c>
      <c r="C235" s="77">
        <f t="shared" si="48"/>
        <v>47.188456220342594</v>
      </c>
      <c r="D235" s="77">
        <f t="shared" si="49"/>
        <v>28.474610513185013</v>
      </c>
      <c r="E235" s="77">
        <f t="shared" si="50"/>
        <v>15.674338410548009</v>
      </c>
      <c r="F235" s="77">
        <f t="shared" si="51"/>
        <v>10.090456007534291</v>
      </c>
      <c r="G235" s="77">
        <f t="shared" si="52"/>
        <v>6.5950148060274341</v>
      </c>
      <c r="H235" s="77">
        <f t="shared" si="53"/>
        <v>4.165853003767146</v>
      </c>
      <c r="I235" s="77">
        <f t="shared" si="54"/>
        <v>3.2919927033904313</v>
      </c>
      <c r="J235" s="77">
        <f t="shared" si="55"/>
        <v>2.0774118022602881</v>
      </c>
      <c r="K235" s="272">
        <f>+B235*(('Step 2 - Transformer Sizing'!$R$22*0.9)+('Step 2 - Transformer Sizing'!$R$23*SIN(ACOS(0.9))))/240*100</f>
        <v>0</v>
      </c>
      <c r="L235" s="77">
        <f t="shared" si="56"/>
        <v>36.598818566215087</v>
      </c>
      <c r="M235" s="77">
        <f t="shared" si="57"/>
        <v>23.325317682109606</v>
      </c>
      <c r="N235" s="77">
        <f t="shared" si="58"/>
        <v>15.034239300132207</v>
      </c>
      <c r="O235" s="77">
        <f t="shared" si="59"/>
        <v>7.8675595919965886</v>
      </c>
      <c r="P235" s="77">
        <f t="shared" si="60"/>
        <v>12.183961360207549</v>
      </c>
      <c r="Q235" s="77">
        <f t="shared" si="61"/>
        <v>7.9819826821096038</v>
      </c>
      <c r="R235" s="77">
        <f t="shared" si="62"/>
        <v>5.1931566520719308</v>
      </c>
      <c r="S235" s="77">
        <f t="shared" si="63"/>
        <v>3.8995990040116566</v>
      </c>
    </row>
    <row r="236" spans="1:19" ht="14.25" x14ac:dyDescent="0.2">
      <c r="A236" s="79">
        <v>226</v>
      </c>
      <c r="B236" s="78">
        <v>942</v>
      </c>
      <c r="C236" s="77">
        <f t="shared" si="48"/>
        <v>47.389686310834456</v>
      </c>
      <c r="D236" s="77">
        <f t="shared" si="49"/>
        <v>28.596037423688998</v>
      </c>
      <c r="E236" s="77">
        <f t="shared" si="50"/>
        <v>15.7411799389512</v>
      </c>
      <c r="F236" s="77">
        <f t="shared" si="51"/>
        <v>10.133485670679427</v>
      </c>
      <c r="G236" s="77">
        <f t="shared" si="52"/>
        <v>6.623138536543542</v>
      </c>
      <c r="H236" s="77">
        <f t="shared" si="53"/>
        <v>4.1836178353397138</v>
      </c>
      <c r="I236" s="77">
        <f t="shared" si="54"/>
        <v>3.3060310518057427</v>
      </c>
      <c r="J236" s="77">
        <f t="shared" si="55"/>
        <v>2.0862707012038286</v>
      </c>
      <c r="K236" s="272">
        <f>+B236*(('Step 2 - Transformer Sizing'!$R$22*0.9)+('Step 2 - Transformer Sizing'!$R$23*SIN(ACOS(0.9))))/240*100</f>
        <v>0</v>
      </c>
      <c r="L236" s="77">
        <f t="shared" si="56"/>
        <v>36.754890287179762</v>
      </c>
      <c r="M236" s="77">
        <f t="shared" si="57"/>
        <v>23.424785987790244</v>
      </c>
      <c r="N236" s="77">
        <f t="shared" si="58"/>
        <v>15.098351194802282</v>
      </c>
      <c r="O236" s="77">
        <f t="shared" si="59"/>
        <v>7.9011099527300495</v>
      </c>
      <c r="P236" s="77">
        <f t="shared" si="60"/>
        <v>12.235918551509075</v>
      </c>
      <c r="Q236" s="77">
        <f t="shared" si="61"/>
        <v>8.01602098779024</v>
      </c>
      <c r="R236" s="77">
        <f t="shared" si="62"/>
        <v>5.2153023094368427</v>
      </c>
      <c r="S236" s="77">
        <f t="shared" si="63"/>
        <v>3.916228424071408</v>
      </c>
    </row>
    <row r="237" spans="1:19" ht="14.25" x14ac:dyDescent="0.2">
      <c r="A237" s="79">
        <v>227</v>
      </c>
      <c r="B237" s="78">
        <v>946</v>
      </c>
      <c r="C237" s="77">
        <f t="shared" si="48"/>
        <v>47.590916401326325</v>
      </c>
      <c r="D237" s="77">
        <f t="shared" si="49"/>
        <v>28.717464334192989</v>
      </c>
      <c r="E237" s="77">
        <f t="shared" si="50"/>
        <v>15.808021467354388</v>
      </c>
      <c r="F237" s="77">
        <f t="shared" si="51"/>
        <v>10.176515333824563</v>
      </c>
      <c r="G237" s="77">
        <f t="shared" si="52"/>
        <v>6.65126226705965</v>
      </c>
      <c r="H237" s="77">
        <f t="shared" si="53"/>
        <v>4.2013826669122816</v>
      </c>
      <c r="I237" s="77">
        <f t="shared" si="54"/>
        <v>3.3200694002210533</v>
      </c>
      <c r="J237" s="77">
        <f t="shared" si="55"/>
        <v>2.0951296001473696</v>
      </c>
      <c r="K237" s="272">
        <f>+B237*(('Step 2 - Transformer Sizing'!$R$22*0.9)+('Step 2 - Transformer Sizing'!$R$23*SIN(ACOS(0.9))))/240*100</f>
        <v>0</v>
      </c>
      <c r="L237" s="77">
        <f t="shared" si="56"/>
        <v>36.910962008144423</v>
      </c>
      <c r="M237" s="77">
        <f t="shared" si="57"/>
        <v>23.524254293470882</v>
      </c>
      <c r="N237" s="77">
        <f t="shared" si="58"/>
        <v>15.162463089472356</v>
      </c>
      <c r="O237" s="77">
        <f t="shared" si="59"/>
        <v>7.9346603134635094</v>
      </c>
      <c r="P237" s="77">
        <f t="shared" si="60"/>
        <v>12.287875742810598</v>
      </c>
      <c r="Q237" s="77">
        <f t="shared" si="61"/>
        <v>8.050059293470877</v>
      </c>
      <c r="R237" s="77">
        <f t="shared" si="62"/>
        <v>5.2374479668017555</v>
      </c>
      <c r="S237" s="77">
        <f t="shared" si="63"/>
        <v>3.9328578441311586</v>
      </c>
    </row>
    <row r="238" spans="1:19" ht="14.25" x14ac:dyDescent="0.2">
      <c r="A238" s="79">
        <v>228</v>
      </c>
      <c r="B238" s="78">
        <v>950</v>
      </c>
      <c r="C238" s="77">
        <f t="shared" si="48"/>
        <v>47.792146491818187</v>
      </c>
      <c r="D238" s="77">
        <f t="shared" si="49"/>
        <v>28.838891244696974</v>
      </c>
      <c r="E238" s="77">
        <f t="shared" si="50"/>
        <v>15.87486299575758</v>
      </c>
      <c r="F238" s="77">
        <f t="shared" si="51"/>
        <v>10.219544996969701</v>
      </c>
      <c r="G238" s="77">
        <f t="shared" si="52"/>
        <v>6.6793859975757579</v>
      </c>
      <c r="H238" s="77">
        <f t="shared" si="53"/>
        <v>4.2191474984848503</v>
      </c>
      <c r="I238" s="77">
        <f t="shared" si="54"/>
        <v>3.3341077486363639</v>
      </c>
      <c r="J238" s="77">
        <f t="shared" si="55"/>
        <v>2.1039884990909101</v>
      </c>
      <c r="K238" s="272">
        <f>+B238*(('Step 2 - Transformer Sizing'!$R$22*0.9)+('Step 2 - Transformer Sizing'!$R$23*SIN(ACOS(0.9))))/240*100</f>
        <v>0</v>
      </c>
      <c r="L238" s="77">
        <f t="shared" si="56"/>
        <v>37.067033729109092</v>
      </c>
      <c r="M238" s="77">
        <f t="shared" si="57"/>
        <v>23.62372259915152</v>
      </c>
      <c r="N238" s="77">
        <f t="shared" si="58"/>
        <v>15.226574984142427</v>
      </c>
      <c r="O238" s="77">
        <f t="shared" si="59"/>
        <v>7.9682106741969712</v>
      </c>
      <c r="P238" s="77">
        <f t="shared" si="60"/>
        <v>12.339832934112122</v>
      </c>
      <c r="Q238" s="77">
        <f t="shared" si="61"/>
        <v>8.0840975991515158</v>
      </c>
      <c r="R238" s="77">
        <f t="shared" si="62"/>
        <v>5.2595936241666674</v>
      </c>
      <c r="S238" s="77">
        <f t="shared" si="63"/>
        <v>3.9494872641909105</v>
      </c>
    </row>
    <row r="239" spans="1:19" ht="14.25" x14ac:dyDescent="0.2">
      <c r="A239" s="79">
        <v>229</v>
      </c>
      <c r="B239" s="78">
        <v>954</v>
      </c>
      <c r="C239" s="77">
        <f t="shared" si="48"/>
        <v>47.993376582310056</v>
      </c>
      <c r="D239" s="77">
        <f t="shared" si="49"/>
        <v>28.960318155200959</v>
      </c>
      <c r="E239" s="77">
        <f t="shared" si="50"/>
        <v>15.941704524160768</v>
      </c>
      <c r="F239" s="77">
        <f t="shared" si="51"/>
        <v>10.262574660114836</v>
      </c>
      <c r="G239" s="77">
        <f t="shared" si="52"/>
        <v>6.7075097280918667</v>
      </c>
      <c r="H239" s="77">
        <f t="shared" si="53"/>
        <v>4.2369123300574172</v>
      </c>
      <c r="I239" s="77">
        <f t="shared" si="54"/>
        <v>3.3481460970516754</v>
      </c>
      <c r="J239" s="77">
        <f t="shared" si="55"/>
        <v>2.1128473980344507</v>
      </c>
      <c r="K239" s="272">
        <f>+B239*(('Step 2 - Transformer Sizing'!$R$22*0.9)+('Step 2 - Transformer Sizing'!$R$23*SIN(ACOS(0.9))))/240*100</f>
        <v>0</v>
      </c>
      <c r="L239" s="77">
        <f t="shared" si="56"/>
        <v>37.22310545007376</v>
      </c>
      <c r="M239" s="77">
        <f t="shared" si="57"/>
        <v>23.723190904832155</v>
      </c>
      <c r="N239" s="77">
        <f t="shared" si="58"/>
        <v>15.290686878812501</v>
      </c>
      <c r="O239" s="77">
        <f t="shared" si="59"/>
        <v>8.0017610349304302</v>
      </c>
      <c r="P239" s="77">
        <f t="shared" si="60"/>
        <v>12.39179012541365</v>
      </c>
      <c r="Q239" s="77">
        <f t="shared" si="61"/>
        <v>8.1181359048321529</v>
      </c>
      <c r="R239" s="77">
        <f t="shared" si="62"/>
        <v>5.2817392815315802</v>
      </c>
      <c r="S239" s="77">
        <f t="shared" si="63"/>
        <v>3.966116684250661</v>
      </c>
    </row>
    <row r="240" spans="1:19" ht="14.25" x14ac:dyDescent="0.2">
      <c r="A240" s="79">
        <v>230</v>
      </c>
      <c r="B240" s="78">
        <v>958</v>
      </c>
      <c r="C240" s="77">
        <f t="shared" si="48"/>
        <v>48.194606672801918</v>
      </c>
      <c r="D240" s="77">
        <f t="shared" si="49"/>
        <v>29.081745065704943</v>
      </c>
      <c r="E240" s="77">
        <f t="shared" si="50"/>
        <v>16.008546052563958</v>
      </c>
      <c r="F240" s="77">
        <f t="shared" si="51"/>
        <v>10.305604323259971</v>
      </c>
      <c r="G240" s="77">
        <f t="shared" si="52"/>
        <v>6.7356334586079756</v>
      </c>
      <c r="H240" s="77">
        <f t="shared" si="53"/>
        <v>4.254677161629985</v>
      </c>
      <c r="I240" s="77">
        <f t="shared" si="54"/>
        <v>3.362184445466986</v>
      </c>
      <c r="J240" s="77">
        <f t="shared" si="55"/>
        <v>2.1217062969779916</v>
      </c>
      <c r="K240" s="272">
        <f>+B240*(('Step 2 - Transformer Sizing'!$R$22*0.9)+('Step 2 - Transformer Sizing'!$R$23*SIN(ACOS(0.9))))/240*100</f>
        <v>0</v>
      </c>
      <c r="L240" s="77">
        <f t="shared" si="56"/>
        <v>37.379177171038435</v>
      </c>
      <c r="M240" s="77">
        <f t="shared" si="57"/>
        <v>23.822659210512796</v>
      </c>
      <c r="N240" s="77">
        <f t="shared" si="58"/>
        <v>15.354798773482573</v>
      </c>
      <c r="O240" s="77">
        <f t="shared" si="59"/>
        <v>8.0353113956638929</v>
      </c>
      <c r="P240" s="77">
        <f t="shared" si="60"/>
        <v>12.443747316715173</v>
      </c>
      <c r="Q240" s="77">
        <f t="shared" si="61"/>
        <v>8.1521742105127935</v>
      </c>
      <c r="R240" s="77">
        <f t="shared" si="62"/>
        <v>5.3038849388964922</v>
      </c>
      <c r="S240" s="77">
        <f t="shared" si="63"/>
        <v>3.982746104310412</v>
      </c>
    </row>
    <row r="241" spans="1:19" ht="14.25" x14ac:dyDescent="0.2">
      <c r="A241" s="79">
        <v>231</v>
      </c>
      <c r="B241" s="78">
        <v>963</v>
      </c>
      <c r="C241" s="77">
        <f t="shared" si="48"/>
        <v>48.446144285916752</v>
      </c>
      <c r="D241" s="77">
        <f t="shared" si="49"/>
        <v>29.233528703834931</v>
      </c>
      <c r="E241" s="77">
        <f t="shared" si="50"/>
        <v>16.092097963067946</v>
      </c>
      <c r="F241" s="77">
        <f t="shared" si="51"/>
        <v>10.359391402191392</v>
      </c>
      <c r="G241" s="77">
        <f t="shared" si="52"/>
        <v>6.7707881217531112</v>
      </c>
      <c r="H241" s="77">
        <f t="shared" si="53"/>
        <v>4.2768832010956954</v>
      </c>
      <c r="I241" s="77">
        <f t="shared" si="54"/>
        <v>3.3797323809861251</v>
      </c>
      <c r="J241" s="77">
        <f t="shared" si="55"/>
        <v>2.1327799206574172</v>
      </c>
      <c r="K241" s="272">
        <f>+B241*(('Step 2 - Transformer Sizing'!$R$22*0.9)+('Step 2 - Transformer Sizing'!$R$23*SIN(ACOS(0.9))))/240*100</f>
        <v>0</v>
      </c>
      <c r="L241" s="77">
        <f t="shared" si="56"/>
        <v>37.574266822244276</v>
      </c>
      <c r="M241" s="77">
        <f t="shared" si="57"/>
        <v>23.946994592613592</v>
      </c>
      <c r="N241" s="77">
        <f t="shared" si="58"/>
        <v>15.434938641820168</v>
      </c>
      <c r="O241" s="77">
        <f t="shared" si="59"/>
        <v>8.077249346580718</v>
      </c>
      <c r="P241" s="77">
        <f t="shared" si="60"/>
        <v>12.50869380584208</v>
      </c>
      <c r="Q241" s="77">
        <f t="shared" si="61"/>
        <v>8.1947220926135884</v>
      </c>
      <c r="R241" s="77">
        <f t="shared" si="62"/>
        <v>5.3315670106026332</v>
      </c>
      <c r="S241" s="77">
        <f t="shared" si="63"/>
        <v>4.0035328793851006</v>
      </c>
    </row>
    <row r="242" spans="1:19" ht="14.25" x14ac:dyDescent="0.2">
      <c r="A242" s="79">
        <v>232</v>
      </c>
      <c r="B242" s="78">
        <v>967</v>
      </c>
      <c r="C242" s="77">
        <f t="shared" si="48"/>
        <v>48.647374376408621</v>
      </c>
      <c r="D242" s="77">
        <f t="shared" si="49"/>
        <v>29.354955614338923</v>
      </c>
      <c r="E242" s="77">
        <f t="shared" si="50"/>
        <v>16.158939491471138</v>
      </c>
      <c r="F242" s="77">
        <f t="shared" si="51"/>
        <v>10.402421065336526</v>
      </c>
      <c r="G242" s="77">
        <f t="shared" si="52"/>
        <v>6.79891185226922</v>
      </c>
      <c r="H242" s="77">
        <f t="shared" si="53"/>
        <v>4.2946480326682623</v>
      </c>
      <c r="I242" s="77">
        <f t="shared" si="54"/>
        <v>3.3937707294014361</v>
      </c>
      <c r="J242" s="77">
        <f t="shared" si="55"/>
        <v>2.1416388196009573</v>
      </c>
      <c r="K242" s="272">
        <f>+B242*(('Step 2 - Transformer Sizing'!$R$22*0.9)+('Step 2 - Transformer Sizing'!$R$23*SIN(ACOS(0.9))))/240*100</f>
        <v>0</v>
      </c>
      <c r="L242" s="77">
        <f t="shared" si="56"/>
        <v>37.730338543208944</v>
      </c>
      <c r="M242" s="77">
        <f t="shared" si="57"/>
        <v>24.046462898294234</v>
      </c>
      <c r="N242" s="77">
        <f t="shared" si="58"/>
        <v>15.499050536490241</v>
      </c>
      <c r="O242" s="77">
        <f t="shared" si="59"/>
        <v>8.1107997073141807</v>
      </c>
      <c r="P242" s="77">
        <f t="shared" si="60"/>
        <v>12.560650997143602</v>
      </c>
      <c r="Q242" s="77">
        <f t="shared" si="61"/>
        <v>8.228760398294229</v>
      </c>
      <c r="R242" s="77">
        <f t="shared" si="62"/>
        <v>5.3537126679675451</v>
      </c>
      <c r="S242" s="77">
        <f t="shared" si="63"/>
        <v>4.020162299444852</v>
      </c>
    </row>
    <row r="243" spans="1:19" ht="14.25" x14ac:dyDescent="0.2">
      <c r="A243" s="79">
        <v>233</v>
      </c>
      <c r="B243" s="78">
        <v>971</v>
      </c>
      <c r="C243" s="77">
        <f t="shared" si="48"/>
        <v>48.848604466900483</v>
      </c>
      <c r="D243" s="77">
        <f t="shared" si="49"/>
        <v>29.476382524842908</v>
      </c>
      <c r="E243" s="77">
        <f t="shared" si="50"/>
        <v>16.225781019874326</v>
      </c>
      <c r="F243" s="77">
        <f t="shared" si="51"/>
        <v>10.445450728481662</v>
      </c>
      <c r="G243" s="77">
        <f t="shared" si="52"/>
        <v>6.827035582785328</v>
      </c>
      <c r="H243" s="77">
        <f t="shared" si="53"/>
        <v>4.3124128642408301</v>
      </c>
      <c r="I243" s="77">
        <f t="shared" si="54"/>
        <v>3.4078090778167471</v>
      </c>
      <c r="J243" s="77">
        <f t="shared" si="55"/>
        <v>2.1504977185444982</v>
      </c>
      <c r="K243" s="272">
        <f>+B243*(('Step 2 - Transformer Sizing'!$R$22*0.9)+('Step 2 - Transformer Sizing'!$R$23*SIN(ACOS(0.9))))/240*100</f>
        <v>0</v>
      </c>
      <c r="L243" s="77">
        <f t="shared" si="56"/>
        <v>37.886410264173605</v>
      </c>
      <c r="M243" s="77">
        <f t="shared" si="57"/>
        <v>24.145931203974868</v>
      </c>
      <c r="N243" s="77">
        <f t="shared" si="58"/>
        <v>15.563162431160313</v>
      </c>
      <c r="O243" s="77">
        <f t="shared" si="59"/>
        <v>8.1443500680476397</v>
      </c>
      <c r="P243" s="77">
        <f t="shared" si="60"/>
        <v>12.61260818844513</v>
      </c>
      <c r="Q243" s="77">
        <f t="shared" si="61"/>
        <v>8.2627987039748643</v>
      </c>
      <c r="R243" s="77">
        <f t="shared" si="62"/>
        <v>5.3758583253324579</v>
      </c>
      <c r="S243" s="77">
        <f t="shared" si="63"/>
        <v>4.0367917195046035</v>
      </c>
    </row>
    <row r="244" spans="1:19" ht="14.25" x14ac:dyDescent="0.2">
      <c r="A244" s="79">
        <v>234</v>
      </c>
      <c r="B244" s="78">
        <v>975</v>
      </c>
      <c r="C244" s="77">
        <f t="shared" si="48"/>
        <v>49.049834557392352</v>
      </c>
      <c r="D244" s="77">
        <f t="shared" si="49"/>
        <v>29.597809435346896</v>
      </c>
      <c r="E244" s="77">
        <f t="shared" si="50"/>
        <v>16.292622548277517</v>
      </c>
      <c r="F244" s="77">
        <f t="shared" si="51"/>
        <v>10.488480391626796</v>
      </c>
      <c r="G244" s="77">
        <f t="shared" si="52"/>
        <v>6.8551593133014359</v>
      </c>
      <c r="H244" s="77">
        <f t="shared" si="53"/>
        <v>4.330177695813398</v>
      </c>
      <c r="I244" s="77">
        <f t="shared" si="54"/>
        <v>3.4218474262320582</v>
      </c>
      <c r="J244" s="77">
        <f t="shared" si="55"/>
        <v>2.1593566174880388</v>
      </c>
      <c r="K244" s="272">
        <f>+B244*(('Step 2 - Transformer Sizing'!$R$22*0.9)+('Step 2 - Transformer Sizing'!$R$23*SIN(ACOS(0.9))))/240*100</f>
        <v>0</v>
      </c>
      <c r="L244" s="77">
        <f t="shared" si="56"/>
        <v>38.042481985138281</v>
      </c>
      <c r="M244" s="77">
        <f t="shared" si="57"/>
        <v>24.245399509655506</v>
      </c>
      <c r="N244" s="77">
        <f t="shared" si="58"/>
        <v>15.627274325830385</v>
      </c>
      <c r="O244" s="77">
        <f t="shared" si="59"/>
        <v>8.1779004287811006</v>
      </c>
      <c r="P244" s="77">
        <f t="shared" si="60"/>
        <v>12.664565379746653</v>
      </c>
      <c r="Q244" s="77">
        <f t="shared" si="61"/>
        <v>8.2968370096555049</v>
      </c>
      <c r="R244" s="77">
        <f t="shared" si="62"/>
        <v>5.3980039826973698</v>
      </c>
      <c r="S244" s="77">
        <f t="shared" si="63"/>
        <v>4.0534211395643549</v>
      </c>
    </row>
    <row r="245" spans="1:19" ht="14.25" x14ac:dyDescent="0.2">
      <c r="A245" s="79">
        <v>235</v>
      </c>
      <c r="B245" s="78">
        <v>979</v>
      </c>
      <c r="C245" s="77">
        <f t="shared" si="48"/>
        <v>49.25106464788422</v>
      </c>
      <c r="D245" s="77">
        <f t="shared" si="49"/>
        <v>29.719236345850881</v>
      </c>
      <c r="E245" s="77">
        <f t="shared" si="50"/>
        <v>16.359464076680705</v>
      </c>
      <c r="F245" s="77">
        <f t="shared" si="51"/>
        <v>10.531510054771932</v>
      </c>
      <c r="G245" s="77">
        <f t="shared" si="52"/>
        <v>6.8832830438175439</v>
      </c>
      <c r="H245" s="77">
        <f t="shared" si="53"/>
        <v>4.3479425273859658</v>
      </c>
      <c r="I245" s="77">
        <f t="shared" si="54"/>
        <v>3.4358857746473697</v>
      </c>
      <c r="J245" s="77">
        <f t="shared" si="55"/>
        <v>2.1682155164315797</v>
      </c>
      <c r="K245" s="272">
        <f>+B245*(('Step 2 - Transformer Sizing'!$R$22*0.9)+('Step 2 - Transformer Sizing'!$R$23*SIN(ACOS(0.9))))/240*100</f>
        <v>0</v>
      </c>
      <c r="L245" s="77">
        <f t="shared" si="56"/>
        <v>38.198553706102949</v>
      </c>
      <c r="M245" s="77">
        <f t="shared" si="57"/>
        <v>24.344867815336144</v>
      </c>
      <c r="N245" s="77">
        <f t="shared" si="58"/>
        <v>15.691386220500458</v>
      </c>
      <c r="O245" s="77">
        <f t="shared" si="59"/>
        <v>8.2114507895145614</v>
      </c>
      <c r="P245" s="77">
        <f t="shared" si="60"/>
        <v>12.716522571048177</v>
      </c>
      <c r="Q245" s="77">
        <f t="shared" si="61"/>
        <v>8.3308753153361401</v>
      </c>
      <c r="R245" s="77">
        <f t="shared" si="62"/>
        <v>5.4201496400622817</v>
      </c>
      <c r="S245" s="77">
        <f t="shared" si="63"/>
        <v>4.0700505596241063</v>
      </c>
    </row>
    <row r="246" spans="1:19" ht="14.25" x14ac:dyDescent="0.2">
      <c r="A246" s="79">
        <v>236</v>
      </c>
      <c r="B246" s="78">
        <v>983</v>
      </c>
      <c r="C246" s="77">
        <f t="shared" si="48"/>
        <v>49.452294738376082</v>
      </c>
      <c r="D246" s="77">
        <f t="shared" si="49"/>
        <v>29.840663256354873</v>
      </c>
      <c r="E246" s="77">
        <f t="shared" si="50"/>
        <v>16.426305605083897</v>
      </c>
      <c r="F246" s="77">
        <f t="shared" si="51"/>
        <v>10.574539717917068</v>
      </c>
      <c r="G246" s="77">
        <f t="shared" si="52"/>
        <v>6.9114067743336545</v>
      </c>
      <c r="H246" s="77">
        <f t="shared" si="53"/>
        <v>4.3657073589585345</v>
      </c>
      <c r="I246" s="77">
        <f t="shared" si="54"/>
        <v>3.4499241230626803</v>
      </c>
      <c r="J246" s="77">
        <f t="shared" si="55"/>
        <v>2.1770744153751203</v>
      </c>
      <c r="K246" s="272">
        <f>+B246*(('Step 2 - Transformer Sizing'!$R$22*0.9)+('Step 2 - Transformer Sizing'!$R$23*SIN(ACOS(0.9))))/240*100</f>
        <v>0</v>
      </c>
      <c r="L246" s="77">
        <f t="shared" si="56"/>
        <v>38.354625427067624</v>
      </c>
      <c r="M246" s="77">
        <f t="shared" si="57"/>
        <v>24.444336121016782</v>
      </c>
      <c r="N246" s="77">
        <f t="shared" si="58"/>
        <v>15.755498115170532</v>
      </c>
      <c r="O246" s="77">
        <f t="shared" si="59"/>
        <v>8.2450011502480223</v>
      </c>
      <c r="P246" s="77">
        <f t="shared" si="60"/>
        <v>12.768479762349703</v>
      </c>
      <c r="Q246" s="77">
        <f t="shared" si="61"/>
        <v>8.3649136210167807</v>
      </c>
      <c r="R246" s="77">
        <f t="shared" si="62"/>
        <v>5.4422952974271936</v>
      </c>
      <c r="S246" s="77">
        <f t="shared" si="63"/>
        <v>4.0866799796838578</v>
      </c>
    </row>
    <row r="247" spans="1:19" ht="14.25" x14ac:dyDescent="0.2">
      <c r="A247" s="79">
        <v>237</v>
      </c>
      <c r="B247" s="78">
        <v>988</v>
      </c>
      <c r="C247" s="77">
        <f t="shared" si="48"/>
        <v>49.703832351490917</v>
      </c>
      <c r="D247" s="77">
        <f t="shared" si="49"/>
        <v>29.992446894484853</v>
      </c>
      <c r="E247" s="77">
        <f t="shared" si="50"/>
        <v>16.509857515587882</v>
      </c>
      <c r="F247" s="77">
        <f t="shared" si="51"/>
        <v>10.628326796848487</v>
      </c>
      <c r="G247" s="77">
        <f t="shared" si="52"/>
        <v>6.9465614374787892</v>
      </c>
      <c r="H247" s="77">
        <f t="shared" si="53"/>
        <v>4.387913398424244</v>
      </c>
      <c r="I247" s="77">
        <f t="shared" si="54"/>
        <v>3.4674720585818193</v>
      </c>
      <c r="J247" s="77">
        <f t="shared" si="55"/>
        <v>2.1881480390545462</v>
      </c>
      <c r="K247" s="272">
        <f>+B247*(('Step 2 - Transformer Sizing'!$R$22*0.9)+('Step 2 - Transformer Sizing'!$R$23*SIN(ACOS(0.9))))/240*100</f>
        <v>0</v>
      </c>
      <c r="L247" s="77">
        <f t="shared" si="56"/>
        <v>38.549715078273458</v>
      </c>
      <c r="M247" s="77">
        <f t="shared" si="57"/>
        <v>24.568671503117578</v>
      </c>
      <c r="N247" s="77">
        <f t="shared" si="58"/>
        <v>15.835637983508125</v>
      </c>
      <c r="O247" s="77">
        <f t="shared" si="59"/>
        <v>8.286939101164851</v>
      </c>
      <c r="P247" s="77">
        <f t="shared" si="60"/>
        <v>12.833426251476606</v>
      </c>
      <c r="Q247" s="77">
        <f t="shared" si="61"/>
        <v>8.4074615031175757</v>
      </c>
      <c r="R247" s="77">
        <f t="shared" si="62"/>
        <v>5.4699773691333347</v>
      </c>
      <c r="S247" s="77">
        <f t="shared" si="63"/>
        <v>4.1074667547585468</v>
      </c>
    </row>
    <row r="248" spans="1:19" ht="14.25" x14ac:dyDescent="0.2">
      <c r="A248" s="79">
        <v>238</v>
      </c>
      <c r="B248" s="78">
        <v>992</v>
      </c>
      <c r="C248" s="77">
        <f t="shared" si="48"/>
        <v>49.905062441982778</v>
      </c>
      <c r="D248" s="77">
        <f t="shared" si="49"/>
        <v>30.113873804988845</v>
      </c>
      <c r="E248" s="77">
        <f t="shared" si="50"/>
        <v>16.576699043991074</v>
      </c>
      <c r="F248" s="77">
        <f t="shared" si="51"/>
        <v>10.671356459993623</v>
      </c>
      <c r="G248" s="77">
        <f t="shared" si="52"/>
        <v>6.9746851679948971</v>
      </c>
      <c r="H248" s="77">
        <f t="shared" si="53"/>
        <v>4.4056782299968118</v>
      </c>
      <c r="I248" s="77">
        <f t="shared" si="54"/>
        <v>3.4815104069971308</v>
      </c>
      <c r="J248" s="77">
        <f t="shared" si="55"/>
        <v>2.1970069379980868</v>
      </c>
      <c r="K248" s="272">
        <f>+B248*(('Step 2 - Transformer Sizing'!$R$22*0.9)+('Step 2 - Transformer Sizing'!$R$23*SIN(ACOS(0.9))))/240*100</f>
        <v>0</v>
      </c>
      <c r="L248" s="77">
        <f t="shared" si="56"/>
        <v>38.705786799238126</v>
      </c>
      <c r="M248" s="77">
        <f t="shared" si="57"/>
        <v>24.66813980879822</v>
      </c>
      <c r="N248" s="77">
        <f t="shared" si="58"/>
        <v>15.899749878178199</v>
      </c>
      <c r="O248" s="77">
        <f t="shared" si="59"/>
        <v>8.3204894618983118</v>
      </c>
      <c r="P248" s="77">
        <f t="shared" si="60"/>
        <v>12.885383442778133</v>
      </c>
      <c r="Q248" s="77">
        <f t="shared" si="61"/>
        <v>8.4414998087982163</v>
      </c>
      <c r="R248" s="77">
        <f t="shared" si="62"/>
        <v>5.4921230264982457</v>
      </c>
      <c r="S248" s="77">
        <f t="shared" si="63"/>
        <v>4.1240961748182974</v>
      </c>
    </row>
    <row r="249" spans="1:19" ht="14.25" x14ac:dyDescent="0.2">
      <c r="A249" s="79">
        <v>239</v>
      </c>
      <c r="B249" s="78">
        <v>996</v>
      </c>
      <c r="C249" s="77">
        <f t="shared" si="48"/>
        <v>50.106292532474647</v>
      </c>
      <c r="D249" s="77">
        <f t="shared" si="49"/>
        <v>30.23530071549283</v>
      </c>
      <c r="E249" s="77">
        <f t="shared" si="50"/>
        <v>16.643540572394265</v>
      </c>
      <c r="F249" s="77">
        <f t="shared" si="51"/>
        <v>10.714386123138759</v>
      </c>
      <c r="G249" s="77">
        <f t="shared" si="52"/>
        <v>7.0028088985110069</v>
      </c>
      <c r="H249" s="77">
        <f t="shared" si="53"/>
        <v>4.4234430615693796</v>
      </c>
      <c r="I249" s="77">
        <f t="shared" si="54"/>
        <v>3.4955487554124405</v>
      </c>
      <c r="J249" s="77">
        <f t="shared" si="55"/>
        <v>2.2058658369416277</v>
      </c>
      <c r="K249" s="272">
        <f>+B249*(('Step 2 - Transformer Sizing'!$R$22*0.9)+('Step 2 - Transformer Sizing'!$R$23*SIN(ACOS(0.9))))/240*100</f>
        <v>0</v>
      </c>
      <c r="L249" s="77">
        <f t="shared" si="56"/>
        <v>38.861858520202802</v>
      </c>
      <c r="M249" s="77">
        <f t="shared" si="57"/>
        <v>24.767608114478858</v>
      </c>
      <c r="N249" s="77">
        <f t="shared" si="58"/>
        <v>15.963861772848272</v>
      </c>
      <c r="O249" s="77">
        <f t="shared" si="59"/>
        <v>8.3540398226317709</v>
      </c>
      <c r="P249" s="77">
        <f t="shared" si="60"/>
        <v>12.937340634079659</v>
      </c>
      <c r="Q249" s="77">
        <f t="shared" si="61"/>
        <v>8.4755381144788533</v>
      </c>
      <c r="R249" s="77">
        <f t="shared" si="62"/>
        <v>5.5142686838631585</v>
      </c>
      <c r="S249" s="77">
        <f t="shared" si="63"/>
        <v>4.1407255948780488</v>
      </c>
    </row>
    <row r="250" spans="1:19" ht="14.25" x14ac:dyDescent="0.2">
      <c r="A250" s="79">
        <v>240</v>
      </c>
      <c r="B250" s="78">
        <v>1000</v>
      </c>
      <c r="C250" s="77">
        <f t="shared" si="48"/>
        <v>50.307522622966516</v>
      </c>
      <c r="D250" s="77">
        <f t="shared" si="49"/>
        <v>30.356727625996815</v>
      </c>
      <c r="E250" s="77">
        <f t="shared" si="50"/>
        <v>16.710382100797453</v>
      </c>
      <c r="F250" s="77">
        <f t="shared" si="51"/>
        <v>10.757415786283895</v>
      </c>
      <c r="G250" s="77">
        <f t="shared" si="52"/>
        <v>7.0309326290271148</v>
      </c>
      <c r="H250" s="77">
        <f t="shared" si="53"/>
        <v>4.4412078931419474</v>
      </c>
      <c r="I250" s="77">
        <f t="shared" si="54"/>
        <v>3.509587103827752</v>
      </c>
      <c r="J250" s="77">
        <f t="shared" si="55"/>
        <v>2.2147247358851683</v>
      </c>
      <c r="K250" s="272">
        <f>+B250*(('Step 2 - Transformer Sizing'!$R$22*0.9)+('Step 2 - Transformer Sizing'!$R$23*SIN(ACOS(0.9))))/240*100</f>
        <v>0</v>
      </c>
      <c r="L250" s="77">
        <f t="shared" si="56"/>
        <v>39.01793024116747</v>
      </c>
      <c r="M250" s="77">
        <f t="shared" si="57"/>
        <v>24.867076420159496</v>
      </c>
      <c r="N250" s="77">
        <f t="shared" si="58"/>
        <v>16.027973667518346</v>
      </c>
      <c r="O250" s="77">
        <f t="shared" si="59"/>
        <v>8.3875901833652335</v>
      </c>
      <c r="P250" s="77">
        <f t="shared" si="60"/>
        <v>12.989297825381183</v>
      </c>
      <c r="Q250" s="77">
        <f t="shared" si="61"/>
        <v>8.5095764201594903</v>
      </c>
      <c r="R250" s="77">
        <f t="shared" si="62"/>
        <v>5.5364143412280704</v>
      </c>
      <c r="S250" s="77">
        <f t="shared" si="63"/>
        <v>4.1573550149378002</v>
      </c>
    </row>
    <row r="251" spans="1:19" ht="14.25" x14ac:dyDescent="0.2">
      <c r="A251" s="79">
        <v>241</v>
      </c>
      <c r="B251" s="78">
        <v>1004</v>
      </c>
      <c r="C251" s="77">
        <f t="shared" si="48"/>
        <v>50.508752713458385</v>
      </c>
      <c r="D251" s="77">
        <f t="shared" si="49"/>
        <v>30.478154536500806</v>
      </c>
      <c r="E251" s="77">
        <f t="shared" si="50"/>
        <v>16.777223629200641</v>
      </c>
      <c r="F251" s="77">
        <f t="shared" si="51"/>
        <v>10.800445449429029</v>
      </c>
      <c r="G251" s="77">
        <f t="shared" si="52"/>
        <v>7.0590563595432227</v>
      </c>
      <c r="H251" s="77">
        <f t="shared" si="53"/>
        <v>4.4589727247145143</v>
      </c>
      <c r="I251" s="77">
        <f t="shared" si="54"/>
        <v>3.523625452243063</v>
      </c>
      <c r="J251" s="77">
        <f t="shared" si="55"/>
        <v>2.2235836348287088</v>
      </c>
      <c r="K251" s="272">
        <f>+B251*(('Step 2 - Transformer Sizing'!$R$22*0.9)+('Step 2 - Transformer Sizing'!$R$23*SIN(ACOS(0.9))))/240*100</f>
        <v>0</v>
      </c>
      <c r="L251" s="77">
        <f t="shared" si="56"/>
        <v>39.174001962132138</v>
      </c>
      <c r="M251" s="77">
        <f t="shared" si="57"/>
        <v>24.96654472584013</v>
      </c>
      <c r="N251" s="77">
        <f t="shared" si="58"/>
        <v>16.092085562188416</v>
      </c>
      <c r="O251" s="77">
        <f t="shared" si="59"/>
        <v>8.4211405440986944</v>
      </c>
      <c r="P251" s="77">
        <f t="shared" si="60"/>
        <v>13.041255016682706</v>
      </c>
      <c r="Q251" s="77">
        <f t="shared" si="61"/>
        <v>8.5436147258401292</v>
      </c>
      <c r="R251" s="77">
        <f t="shared" si="62"/>
        <v>5.5585599985929841</v>
      </c>
      <c r="S251" s="77">
        <f t="shared" si="63"/>
        <v>4.1739844349975508</v>
      </c>
    </row>
    <row r="252" spans="1:19" ht="14.25" x14ac:dyDescent="0.2">
      <c r="A252" s="79">
        <v>242</v>
      </c>
      <c r="B252" s="78">
        <v>1008</v>
      </c>
      <c r="C252" s="77">
        <f t="shared" si="48"/>
        <v>50.709982803950247</v>
      </c>
      <c r="D252" s="77">
        <f t="shared" si="49"/>
        <v>30.599581447004791</v>
      </c>
      <c r="E252" s="77">
        <f t="shared" si="50"/>
        <v>16.844065157603833</v>
      </c>
      <c r="F252" s="77">
        <f t="shared" si="51"/>
        <v>10.843475112574167</v>
      </c>
      <c r="G252" s="77">
        <f t="shared" si="52"/>
        <v>7.0871800900593307</v>
      </c>
      <c r="H252" s="77">
        <f t="shared" si="53"/>
        <v>4.4767375562870821</v>
      </c>
      <c r="I252" s="77">
        <f t="shared" si="54"/>
        <v>3.537663800658374</v>
      </c>
      <c r="J252" s="77">
        <f t="shared" si="55"/>
        <v>2.2324425337722498</v>
      </c>
      <c r="K252" s="272">
        <f>+B252*(('Step 2 - Transformer Sizing'!$R$22*0.9)+('Step 2 - Transformer Sizing'!$R$23*SIN(ACOS(0.9))))/240*100</f>
        <v>0</v>
      </c>
      <c r="L252" s="77">
        <f t="shared" si="56"/>
        <v>39.330073683096806</v>
      </c>
      <c r="M252" s="77">
        <f t="shared" si="57"/>
        <v>25.066013031520768</v>
      </c>
      <c r="N252" s="77">
        <f t="shared" si="58"/>
        <v>16.156197456858489</v>
      </c>
      <c r="O252" s="77">
        <f t="shared" si="59"/>
        <v>8.4546909048321552</v>
      </c>
      <c r="P252" s="77">
        <f t="shared" si="60"/>
        <v>13.093212207984232</v>
      </c>
      <c r="Q252" s="77">
        <f t="shared" si="61"/>
        <v>8.5776530315207662</v>
      </c>
      <c r="R252" s="77">
        <f t="shared" si="62"/>
        <v>5.580705655957896</v>
      </c>
      <c r="S252" s="77">
        <f t="shared" si="63"/>
        <v>4.1906138550573022</v>
      </c>
    </row>
    <row r="253" spans="1:19" ht="14.25" x14ac:dyDescent="0.2">
      <c r="A253" s="79">
        <v>243</v>
      </c>
      <c r="B253" s="78">
        <v>1013</v>
      </c>
      <c r="C253" s="77">
        <f t="shared" si="48"/>
        <v>50.961520417065074</v>
      </c>
      <c r="D253" s="77">
        <f t="shared" si="49"/>
        <v>30.751365085134776</v>
      </c>
      <c r="E253" s="77">
        <f t="shared" si="50"/>
        <v>16.927617068107821</v>
      </c>
      <c r="F253" s="77">
        <f t="shared" si="51"/>
        <v>10.897262191505584</v>
      </c>
      <c r="G253" s="77">
        <f t="shared" si="52"/>
        <v>7.1223347532044681</v>
      </c>
      <c r="H253" s="77">
        <f t="shared" si="53"/>
        <v>4.4989435957527917</v>
      </c>
      <c r="I253" s="77">
        <f t="shared" si="54"/>
        <v>3.5552117361775126</v>
      </c>
      <c r="J253" s="77">
        <f t="shared" si="55"/>
        <v>2.2435161574516758</v>
      </c>
      <c r="K253" s="272">
        <f>+B253*(('Step 2 - Transformer Sizing'!$R$22*0.9)+('Step 2 - Transformer Sizing'!$R$23*SIN(ACOS(0.9))))/240*100</f>
        <v>0</v>
      </c>
      <c r="L253" s="77">
        <f t="shared" si="56"/>
        <v>39.52516333430264</v>
      </c>
      <c r="M253" s="77">
        <f t="shared" si="57"/>
        <v>25.190348413621567</v>
      </c>
      <c r="N253" s="77">
        <f t="shared" si="58"/>
        <v>16.236337325196086</v>
      </c>
      <c r="O253" s="77">
        <f t="shared" si="59"/>
        <v>8.4966288557489804</v>
      </c>
      <c r="P253" s="77">
        <f t="shared" si="60"/>
        <v>13.158158697111139</v>
      </c>
      <c r="Q253" s="77">
        <f t="shared" si="61"/>
        <v>8.6202009136215647</v>
      </c>
      <c r="R253" s="77">
        <f t="shared" si="62"/>
        <v>5.6083877276640361</v>
      </c>
      <c r="S253" s="77">
        <f t="shared" si="63"/>
        <v>4.2114006301319913</v>
      </c>
    </row>
    <row r="254" spans="1:19" ht="14.25" x14ac:dyDescent="0.2">
      <c r="A254" s="79">
        <v>244</v>
      </c>
      <c r="B254" s="78">
        <v>1017</v>
      </c>
      <c r="C254" s="77">
        <f t="shared" si="48"/>
        <v>51.162750507556943</v>
      </c>
      <c r="D254" s="77">
        <f t="shared" si="49"/>
        <v>30.87279199563876</v>
      </c>
      <c r="E254" s="77">
        <f t="shared" si="50"/>
        <v>16.994458596511013</v>
      </c>
      <c r="F254" s="77">
        <f t="shared" si="51"/>
        <v>10.94029185465072</v>
      </c>
      <c r="G254" s="77">
        <f t="shared" si="52"/>
        <v>7.150458483720576</v>
      </c>
      <c r="H254" s="77">
        <f t="shared" si="53"/>
        <v>4.5167084273253595</v>
      </c>
      <c r="I254" s="77">
        <f t="shared" si="54"/>
        <v>3.5692500845928241</v>
      </c>
      <c r="J254" s="77">
        <f t="shared" si="55"/>
        <v>2.2523750563952163</v>
      </c>
      <c r="K254" s="272">
        <f>+B254*(('Step 2 - Transformer Sizing'!$R$22*0.9)+('Step 2 - Transformer Sizing'!$R$23*SIN(ACOS(0.9))))/240*100</f>
        <v>0</v>
      </c>
      <c r="L254" s="77">
        <f t="shared" si="56"/>
        <v>39.681235055267308</v>
      </c>
      <c r="M254" s="77">
        <f t="shared" si="57"/>
        <v>25.289816719302205</v>
      </c>
      <c r="N254" s="77">
        <f t="shared" si="58"/>
        <v>16.300449219866159</v>
      </c>
      <c r="O254" s="77">
        <f t="shared" si="59"/>
        <v>8.5301792164824413</v>
      </c>
      <c r="P254" s="77">
        <f t="shared" si="60"/>
        <v>13.210115888412663</v>
      </c>
      <c r="Q254" s="77">
        <f t="shared" si="61"/>
        <v>8.6542392193022017</v>
      </c>
      <c r="R254" s="77">
        <f t="shared" si="62"/>
        <v>5.6305333850289481</v>
      </c>
      <c r="S254" s="77">
        <f t="shared" si="63"/>
        <v>4.2280300501917427</v>
      </c>
    </row>
    <row r="255" spans="1:19" ht="14.25" x14ac:dyDescent="0.2">
      <c r="A255" s="79">
        <v>245</v>
      </c>
      <c r="B255" s="78">
        <v>1021</v>
      </c>
      <c r="C255" s="77">
        <f t="shared" si="48"/>
        <v>51.363980598048812</v>
      </c>
      <c r="D255" s="77">
        <f t="shared" si="49"/>
        <v>30.994218906142745</v>
      </c>
      <c r="E255" s="77">
        <f t="shared" si="50"/>
        <v>17.061300124914201</v>
      </c>
      <c r="F255" s="77">
        <f t="shared" si="51"/>
        <v>10.983321517795856</v>
      </c>
      <c r="G255" s="77">
        <f t="shared" si="52"/>
        <v>7.178582214236684</v>
      </c>
      <c r="H255" s="77">
        <f t="shared" si="53"/>
        <v>4.5344732588979282</v>
      </c>
      <c r="I255" s="77">
        <f t="shared" si="54"/>
        <v>3.5832884330081347</v>
      </c>
      <c r="J255" s="77">
        <f t="shared" si="55"/>
        <v>2.2612339553387573</v>
      </c>
      <c r="K255" s="272">
        <f>+B255*(('Step 2 - Transformer Sizing'!$R$22*0.9)+('Step 2 - Transformer Sizing'!$R$23*SIN(ACOS(0.9))))/240*100</f>
        <v>0</v>
      </c>
      <c r="L255" s="77">
        <f t="shared" si="56"/>
        <v>39.837306776231983</v>
      </c>
      <c r="M255" s="77">
        <f t="shared" si="57"/>
        <v>25.389285024982843</v>
      </c>
      <c r="N255" s="77">
        <f t="shared" si="58"/>
        <v>16.36456111453623</v>
      </c>
      <c r="O255" s="77">
        <f t="shared" si="59"/>
        <v>8.5637295772159021</v>
      </c>
      <c r="P255" s="77">
        <f t="shared" si="60"/>
        <v>13.262073079714188</v>
      </c>
      <c r="Q255" s="77">
        <f t="shared" si="61"/>
        <v>8.6882775249828406</v>
      </c>
      <c r="R255" s="77">
        <f t="shared" si="62"/>
        <v>5.6526790423938609</v>
      </c>
      <c r="S255" s="77">
        <f t="shared" si="63"/>
        <v>4.2446594702514933</v>
      </c>
    </row>
  </sheetData>
  <mergeCells count="3">
    <mergeCell ref="L8:N8"/>
    <mergeCell ref="C8:K8"/>
    <mergeCell ref="C7:K7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C211"/>
  <sheetViews>
    <sheetView topLeftCell="A7" workbookViewId="0">
      <selection activeCell="C20" sqref="C20"/>
    </sheetView>
  </sheetViews>
  <sheetFormatPr defaultColWidth="9.140625" defaultRowHeight="12.75" x14ac:dyDescent="0.2"/>
  <cols>
    <col min="1" max="16384" width="9.140625" style="76"/>
  </cols>
  <sheetData>
    <row r="2" spans="1:3" x14ac:dyDescent="0.2">
      <c r="B2" s="76" t="s">
        <v>1</v>
      </c>
      <c r="C2" s="76" t="s">
        <v>3</v>
      </c>
    </row>
    <row r="3" spans="1:3" x14ac:dyDescent="0.2">
      <c r="A3" s="76" t="s">
        <v>2</v>
      </c>
      <c r="B3" s="76" t="s">
        <v>33</v>
      </c>
      <c r="C3" s="76" t="s">
        <v>33</v>
      </c>
    </row>
    <row r="4" spans="1:3" x14ac:dyDescent="0.2">
      <c r="A4" s="76">
        <v>1</v>
      </c>
      <c r="B4" s="76">
        <v>10</v>
      </c>
      <c r="C4" s="76">
        <v>10</v>
      </c>
    </row>
    <row r="5" spans="1:3" x14ac:dyDescent="0.2">
      <c r="A5" s="76">
        <f t="shared" ref="A5:A68" si="0">A4+1</f>
        <v>2</v>
      </c>
      <c r="B5" s="76">
        <v>10</v>
      </c>
      <c r="C5" s="76">
        <v>10</v>
      </c>
    </row>
    <row r="6" spans="1:3" x14ac:dyDescent="0.2">
      <c r="A6" s="76">
        <f t="shared" si="0"/>
        <v>3</v>
      </c>
      <c r="B6" s="76">
        <v>10</v>
      </c>
      <c r="C6" s="76">
        <v>10</v>
      </c>
    </row>
    <row r="7" spans="1:3" x14ac:dyDescent="0.2">
      <c r="A7" s="76">
        <f t="shared" si="0"/>
        <v>4</v>
      </c>
      <c r="B7" s="76">
        <v>10</v>
      </c>
      <c r="C7" s="76">
        <v>10</v>
      </c>
    </row>
    <row r="8" spans="1:3" x14ac:dyDescent="0.2">
      <c r="A8" s="76">
        <f t="shared" si="0"/>
        <v>5</v>
      </c>
      <c r="B8" s="76">
        <v>10</v>
      </c>
      <c r="C8" s="76">
        <v>10</v>
      </c>
    </row>
    <row r="9" spans="1:3" x14ac:dyDescent="0.2">
      <c r="A9" s="76">
        <f t="shared" si="0"/>
        <v>6</v>
      </c>
      <c r="B9" s="76">
        <v>10</v>
      </c>
      <c r="C9" s="76">
        <v>10</v>
      </c>
    </row>
    <row r="10" spans="1:3" x14ac:dyDescent="0.2">
      <c r="A10" s="76">
        <f t="shared" si="0"/>
        <v>7</v>
      </c>
      <c r="B10" s="76">
        <v>10</v>
      </c>
      <c r="C10" s="76">
        <v>10</v>
      </c>
    </row>
    <row r="11" spans="1:3" x14ac:dyDescent="0.2">
      <c r="A11" s="76">
        <f t="shared" si="0"/>
        <v>8</v>
      </c>
      <c r="B11" s="76">
        <v>10</v>
      </c>
      <c r="C11" s="76">
        <v>10</v>
      </c>
    </row>
    <row r="12" spans="1:3" x14ac:dyDescent="0.2">
      <c r="A12" s="76">
        <f t="shared" si="0"/>
        <v>9</v>
      </c>
      <c r="B12" s="76">
        <v>10</v>
      </c>
      <c r="C12" s="76">
        <v>10</v>
      </c>
    </row>
    <row r="13" spans="1:3" x14ac:dyDescent="0.2">
      <c r="A13" s="76">
        <f t="shared" si="0"/>
        <v>10</v>
      </c>
      <c r="B13" s="76">
        <v>10</v>
      </c>
      <c r="C13" s="76">
        <v>10</v>
      </c>
    </row>
    <row r="14" spans="1:3" x14ac:dyDescent="0.2">
      <c r="A14" s="76">
        <f t="shared" si="0"/>
        <v>11</v>
      </c>
      <c r="B14" s="76">
        <v>10</v>
      </c>
      <c r="C14" s="76">
        <v>10</v>
      </c>
    </row>
    <row r="15" spans="1:3" x14ac:dyDescent="0.2">
      <c r="A15" s="76">
        <f t="shared" si="0"/>
        <v>12</v>
      </c>
      <c r="B15" s="76">
        <v>15</v>
      </c>
      <c r="C15" s="76">
        <v>15</v>
      </c>
    </row>
    <row r="16" spans="1:3" x14ac:dyDescent="0.2">
      <c r="A16" s="76">
        <f t="shared" si="0"/>
        <v>13</v>
      </c>
      <c r="B16" s="76">
        <v>15</v>
      </c>
      <c r="C16" s="76">
        <v>15</v>
      </c>
    </row>
    <row r="17" spans="1:3" x14ac:dyDescent="0.2">
      <c r="A17" s="76">
        <f t="shared" si="0"/>
        <v>14</v>
      </c>
      <c r="B17" s="76">
        <v>15</v>
      </c>
      <c r="C17" s="76">
        <v>15</v>
      </c>
    </row>
    <row r="18" spans="1:3" x14ac:dyDescent="0.2">
      <c r="A18" s="76">
        <f t="shared" si="0"/>
        <v>15</v>
      </c>
      <c r="B18" s="76">
        <v>15</v>
      </c>
      <c r="C18" s="76">
        <v>15</v>
      </c>
    </row>
    <row r="19" spans="1:3" x14ac:dyDescent="0.2">
      <c r="A19" s="76">
        <f t="shared" si="0"/>
        <v>16</v>
      </c>
      <c r="B19" s="76">
        <v>15</v>
      </c>
      <c r="C19" s="76">
        <v>15</v>
      </c>
    </row>
    <row r="20" spans="1:3" x14ac:dyDescent="0.2">
      <c r="A20" s="76">
        <f t="shared" si="0"/>
        <v>17</v>
      </c>
      <c r="B20" s="76">
        <v>15</v>
      </c>
      <c r="C20" s="76">
        <v>15</v>
      </c>
    </row>
    <row r="21" spans="1:3" x14ac:dyDescent="0.2">
      <c r="A21" s="76">
        <f t="shared" si="0"/>
        <v>18</v>
      </c>
      <c r="B21" s="76">
        <v>25</v>
      </c>
      <c r="C21" s="76">
        <v>15</v>
      </c>
    </row>
    <row r="22" spans="1:3" x14ac:dyDescent="0.2">
      <c r="A22" s="76">
        <f t="shared" si="0"/>
        <v>19</v>
      </c>
      <c r="B22" s="76">
        <v>25</v>
      </c>
      <c r="C22" s="76">
        <v>25</v>
      </c>
    </row>
    <row r="23" spans="1:3" x14ac:dyDescent="0.2">
      <c r="A23" s="76">
        <f t="shared" si="0"/>
        <v>20</v>
      </c>
      <c r="B23" s="76">
        <v>25</v>
      </c>
      <c r="C23" s="76">
        <v>25</v>
      </c>
    </row>
    <row r="24" spans="1:3" x14ac:dyDescent="0.2">
      <c r="A24" s="76">
        <f t="shared" si="0"/>
        <v>21</v>
      </c>
      <c r="B24" s="76">
        <v>25</v>
      </c>
      <c r="C24" s="76">
        <v>25</v>
      </c>
    </row>
    <row r="25" spans="1:3" x14ac:dyDescent="0.2">
      <c r="A25" s="76">
        <f t="shared" si="0"/>
        <v>22</v>
      </c>
      <c r="B25" s="76">
        <v>25</v>
      </c>
      <c r="C25" s="76">
        <v>25</v>
      </c>
    </row>
    <row r="26" spans="1:3" x14ac:dyDescent="0.2">
      <c r="A26" s="76">
        <f t="shared" si="0"/>
        <v>23</v>
      </c>
      <c r="B26" s="76">
        <v>25</v>
      </c>
      <c r="C26" s="76">
        <v>25</v>
      </c>
    </row>
    <row r="27" spans="1:3" x14ac:dyDescent="0.2">
      <c r="A27" s="76">
        <f t="shared" si="0"/>
        <v>24</v>
      </c>
      <c r="B27" s="76">
        <v>25</v>
      </c>
      <c r="C27" s="76">
        <v>25</v>
      </c>
    </row>
    <row r="28" spans="1:3" x14ac:dyDescent="0.2">
      <c r="A28" s="76">
        <f t="shared" si="0"/>
        <v>25</v>
      </c>
      <c r="B28" s="76">
        <v>25</v>
      </c>
      <c r="C28" s="76">
        <v>25</v>
      </c>
    </row>
    <row r="29" spans="1:3" x14ac:dyDescent="0.2">
      <c r="A29" s="76">
        <f t="shared" si="0"/>
        <v>26</v>
      </c>
      <c r="B29" s="76">
        <v>25</v>
      </c>
      <c r="C29" s="76">
        <v>25</v>
      </c>
    </row>
    <row r="30" spans="1:3" x14ac:dyDescent="0.2">
      <c r="A30" s="76">
        <f t="shared" si="0"/>
        <v>27</v>
      </c>
      <c r="B30" s="76">
        <v>25</v>
      </c>
      <c r="C30" s="76">
        <v>25</v>
      </c>
    </row>
    <row r="31" spans="1:3" x14ac:dyDescent="0.2">
      <c r="A31" s="76">
        <f t="shared" si="0"/>
        <v>28</v>
      </c>
      <c r="B31" s="76">
        <v>25</v>
      </c>
      <c r="C31" s="76">
        <v>25</v>
      </c>
    </row>
    <row r="32" spans="1:3" x14ac:dyDescent="0.2">
      <c r="A32" s="76">
        <f t="shared" si="0"/>
        <v>29</v>
      </c>
      <c r="B32" s="76">
        <v>37.5</v>
      </c>
      <c r="C32" s="76">
        <v>25</v>
      </c>
    </row>
    <row r="33" spans="1:3" x14ac:dyDescent="0.2">
      <c r="A33" s="76">
        <f t="shared" si="0"/>
        <v>30</v>
      </c>
      <c r="B33" s="76">
        <v>37.5</v>
      </c>
      <c r="C33" s="76">
        <v>25</v>
      </c>
    </row>
    <row r="34" spans="1:3" x14ac:dyDescent="0.2">
      <c r="A34" s="76">
        <f t="shared" si="0"/>
        <v>31</v>
      </c>
      <c r="B34" s="76">
        <v>37.5</v>
      </c>
      <c r="C34" s="76">
        <v>37.5</v>
      </c>
    </row>
    <row r="35" spans="1:3" x14ac:dyDescent="0.2">
      <c r="A35" s="76">
        <f t="shared" si="0"/>
        <v>32</v>
      </c>
      <c r="B35" s="76">
        <v>37.5</v>
      </c>
      <c r="C35" s="76">
        <v>37.5</v>
      </c>
    </row>
    <row r="36" spans="1:3" x14ac:dyDescent="0.2">
      <c r="A36" s="76">
        <f t="shared" si="0"/>
        <v>33</v>
      </c>
      <c r="B36" s="76">
        <v>37.5</v>
      </c>
      <c r="C36" s="76">
        <v>37.5</v>
      </c>
    </row>
    <row r="37" spans="1:3" x14ac:dyDescent="0.2">
      <c r="A37" s="76">
        <f t="shared" si="0"/>
        <v>34</v>
      </c>
      <c r="B37" s="76">
        <v>37.5</v>
      </c>
      <c r="C37" s="76">
        <v>37.5</v>
      </c>
    </row>
    <row r="38" spans="1:3" x14ac:dyDescent="0.2">
      <c r="A38" s="76">
        <f t="shared" si="0"/>
        <v>35</v>
      </c>
      <c r="B38" s="76">
        <v>37.5</v>
      </c>
      <c r="C38" s="76">
        <v>37.5</v>
      </c>
    </row>
    <row r="39" spans="1:3" x14ac:dyDescent="0.2">
      <c r="A39" s="76">
        <f t="shared" si="0"/>
        <v>36</v>
      </c>
      <c r="B39" s="76">
        <v>37.5</v>
      </c>
      <c r="C39" s="76">
        <v>37.5</v>
      </c>
    </row>
    <row r="40" spans="1:3" x14ac:dyDescent="0.2">
      <c r="A40" s="76">
        <f t="shared" si="0"/>
        <v>37</v>
      </c>
      <c r="B40" s="76">
        <v>37.5</v>
      </c>
      <c r="C40" s="76">
        <v>37.5</v>
      </c>
    </row>
    <row r="41" spans="1:3" x14ac:dyDescent="0.2">
      <c r="A41" s="76">
        <f t="shared" si="0"/>
        <v>38</v>
      </c>
      <c r="B41" s="76">
        <v>37.5</v>
      </c>
      <c r="C41" s="76">
        <v>37.5</v>
      </c>
    </row>
    <row r="42" spans="1:3" x14ac:dyDescent="0.2">
      <c r="A42" s="76">
        <f t="shared" si="0"/>
        <v>39</v>
      </c>
      <c r="B42" s="76">
        <v>37.5</v>
      </c>
      <c r="C42" s="76">
        <v>37.5</v>
      </c>
    </row>
    <row r="43" spans="1:3" x14ac:dyDescent="0.2">
      <c r="A43" s="76">
        <f t="shared" si="0"/>
        <v>40</v>
      </c>
      <c r="B43" s="76">
        <v>37.5</v>
      </c>
      <c r="C43" s="76">
        <v>37.5</v>
      </c>
    </row>
    <row r="44" spans="1:3" x14ac:dyDescent="0.2">
      <c r="A44" s="76">
        <f t="shared" si="0"/>
        <v>41</v>
      </c>
      <c r="B44" s="76">
        <v>37.5</v>
      </c>
      <c r="C44" s="76">
        <v>37.5</v>
      </c>
    </row>
    <row r="45" spans="1:3" x14ac:dyDescent="0.2">
      <c r="A45" s="76">
        <f t="shared" si="0"/>
        <v>42</v>
      </c>
      <c r="B45" s="76">
        <v>37.5</v>
      </c>
      <c r="C45" s="76">
        <v>37.5</v>
      </c>
    </row>
    <row r="46" spans="1:3" x14ac:dyDescent="0.2">
      <c r="A46" s="76">
        <f t="shared" si="0"/>
        <v>43</v>
      </c>
      <c r="B46" s="76">
        <v>50</v>
      </c>
      <c r="C46" s="76">
        <v>37.5</v>
      </c>
    </row>
    <row r="47" spans="1:3" x14ac:dyDescent="0.2">
      <c r="A47" s="76">
        <f t="shared" si="0"/>
        <v>44</v>
      </c>
      <c r="B47" s="76">
        <v>50</v>
      </c>
      <c r="C47" s="76">
        <v>37.5</v>
      </c>
    </row>
    <row r="48" spans="1:3" x14ac:dyDescent="0.2">
      <c r="A48" s="76">
        <f t="shared" si="0"/>
        <v>45</v>
      </c>
      <c r="B48" s="76">
        <v>50</v>
      </c>
      <c r="C48" s="76">
        <v>37.5</v>
      </c>
    </row>
    <row r="49" spans="1:3" x14ac:dyDescent="0.2">
      <c r="A49" s="76">
        <f t="shared" si="0"/>
        <v>46</v>
      </c>
      <c r="B49" s="76">
        <v>50</v>
      </c>
      <c r="C49" s="76">
        <v>50</v>
      </c>
    </row>
    <row r="50" spans="1:3" x14ac:dyDescent="0.2">
      <c r="A50" s="76">
        <f t="shared" si="0"/>
        <v>47</v>
      </c>
      <c r="B50" s="76">
        <v>50</v>
      </c>
      <c r="C50" s="76">
        <v>50</v>
      </c>
    </row>
    <row r="51" spans="1:3" x14ac:dyDescent="0.2">
      <c r="A51" s="76">
        <f t="shared" si="0"/>
        <v>48</v>
      </c>
      <c r="B51" s="76">
        <v>50</v>
      </c>
      <c r="C51" s="76">
        <v>50</v>
      </c>
    </row>
    <row r="52" spans="1:3" x14ac:dyDescent="0.2">
      <c r="A52" s="76">
        <f t="shared" si="0"/>
        <v>49</v>
      </c>
      <c r="B52" s="76">
        <v>50</v>
      </c>
      <c r="C52" s="76">
        <v>50</v>
      </c>
    </row>
    <row r="53" spans="1:3" x14ac:dyDescent="0.2">
      <c r="A53" s="76">
        <f t="shared" si="0"/>
        <v>50</v>
      </c>
      <c r="B53" s="76">
        <v>50</v>
      </c>
      <c r="C53" s="76">
        <v>50</v>
      </c>
    </row>
    <row r="54" spans="1:3" x14ac:dyDescent="0.2">
      <c r="A54" s="76">
        <f t="shared" si="0"/>
        <v>51</v>
      </c>
      <c r="B54" s="76">
        <v>50</v>
      </c>
      <c r="C54" s="76">
        <v>50</v>
      </c>
    </row>
    <row r="55" spans="1:3" x14ac:dyDescent="0.2">
      <c r="A55" s="76">
        <f t="shared" si="0"/>
        <v>52</v>
      </c>
      <c r="B55" s="76">
        <v>50</v>
      </c>
      <c r="C55" s="76">
        <v>50</v>
      </c>
    </row>
    <row r="56" spans="1:3" x14ac:dyDescent="0.2">
      <c r="A56" s="76">
        <f t="shared" si="0"/>
        <v>53</v>
      </c>
      <c r="B56" s="76">
        <v>50</v>
      </c>
      <c r="C56" s="76">
        <v>50</v>
      </c>
    </row>
    <row r="57" spans="1:3" x14ac:dyDescent="0.2">
      <c r="A57" s="76">
        <f t="shared" si="0"/>
        <v>54</v>
      </c>
      <c r="B57" s="76">
        <v>50</v>
      </c>
      <c r="C57" s="76">
        <v>50</v>
      </c>
    </row>
    <row r="58" spans="1:3" x14ac:dyDescent="0.2">
      <c r="A58" s="76">
        <f t="shared" si="0"/>
        <v>55</v>
      </c>
      <c r="B58" s="76">
        <v>50</v>
      </c>
      <c r="C58" s="76">
        <v>50</v>
      </c>
    </row>
    <row r="59" spans="1:3" x14ac:dyDescent="0.2">
      <c r="A59" s="76">
        <f t="shared" si="0"/>
        <v>56</v>
      </c>
      <c r="B59" s="76">
        <v>75</v>
      </c>
      <c r="C59" s="76">
        <v>50</v>
      </c>
    </row>
    <row r="60" spans="1:3" x14ac:dyDescent="0.2">
      <c r="A60" s="76">
        <f t="shared" si="0"/>
        <v>57</v>
      </c>
      <c r="B60" s="76">
        <v>75</v>
      </c>
      <c r="C60" s="76">
        <v>50</v>
      </c>
    </row>
    <row r="61" spans="1:3" x14ac:dyDescent="0.2">
      <c r="A61" s="76">
        <f t="shared" si="0"/>
        <v>58</v>
      </c>
      <c r="B61" s="76">
        <v>75</v>
      </c>
      <c r="C61" s="76">
        <v>50</v>
      </c>
    </row>
    <row r="62" spans="1:3" x14ac:dyDescent="0.2">
      <c r="A62" s="76">
        <f t="shared" si="0"/>
        <v>59</v>
      </c>
      <c r="B62" s="76">
        <v>75</v>
      </c>
      <c r="C62" s="76">
        <v>50</v>
      </c>
    </row>
    <row r="63" spans="1:3" x14ac:dyDescent="0.2">
      <c r="A63" s="76">
        <f t="shared" si="0"/>
        <v>60</v>
      </c>
      <c r="B63" s="76">
        <v>75</v>
      </c>
      <c r="C63" s="76">
        <v>50</v>
      </c>
    </row>
    <row r="64" spans="1:3" x14ac:dyDescent="0.2">
      <c r="A64" s="76">
        <f t="shared" si="0"/>
        <v>61</v>
      </c>
      <c r="B64" s="76">
        <v>75</v>
      </c>
      <c r="C64" s="76">
        <v>75</v>
      </c>
    </row>
    <row r="65" spans="1:3" x14ac:dyDescent="0.2">
      <c r="A65" s="76">
        <f t="shared" si="0"/>
        <v>62</v>
      </c>
      <c r="B65" s="76">
        <v>75</v>
      </c>
      <c r="C65" s="76">
        <v>75</v>
      </c>
    </row>
    <row r="66" spans="1:3" x14ac:dyDescent="0.2">
      <c r="A66" s="76">
        <f t="shared" si="0"/>
        <v>63</v>
      </c>
      <c r="B66" s="76">
        <v>75</v>
      </c>
      <c r="C66" s="76">
        <v>75</v>
      </c>
    </row>
    <row r="67" spans="1:3" x14ac:dyDescent="0.2">
      <c r="A67" s="76">
        <f t="shared" si="0"/>
        <v>64</v>
      </c>
      <c r="B67" s="76">
        <v>75</v>
      </c>
      <c r="C67" s="76">
        <v>75</v>
      </c>
    </row>
    <row r="68" spans="1:3" x14ac:dyDescent="0.2">
      <c r="A68" s="76">
        <f t="shared" si="0"/>
        <v>65</v>
      </c>
      <c r="B68" s="76">
        <v>75</v>
      </c>
      <c r="C68" s="76">
        <v>75</v>
      </c>
    </row>
    <row r="69" spans="1:3" x14ac:dyDescent="0.2">
      <c r="A69" s="76">
        <f t="shared" ref="A69:A132" si="1">A68+1</f>
        <v>66</v>
      </c>
      <c r="B69" s="76">
        <v>75</v>
      </c>
      <c r="C69" s="76">
        <v>75</v>
      </c>
    </row>
    <row r="70" spans="1:3" x14ac:dyDescent="0.2">
      <c r="A70" s="76">
        <f t="shared" si="1"/>
        <v>67</v>
      </c>
      <c r="B70" s="76">
        <v>75</v>
      </c>
      <c r="C70" s="76">
        <v>75</v>
      </c>
    </row>
    <row r="71" spans="1:3" x14ac:dyDescent="0.2">
      <c r="A71" s="76">
        <f t="shared" si="1"/>
        <v>68</v>
      </c>
      <c r="B71" s="76">
        <v>75</v>
      </c>
      <c r="C71" s="76">
        <v>75</v>
      </c>
    </row>
    <row r="72" spans="1:3" x14ac:dyDescent="0.2">
      <c r="A72" s="76">
        <f t="shared" si="1"/>
        <v>69</v>
      </c>
      <c r="B72" s="76">
        <v>75</v>
      </c>
      <c r="C72" s="76">
        <v>75</v>
      </c>
    </row>
    <row r="73" spans="1:3" x14ac:dyDescent="0.2">
      <c r="A73" s="76">
        <f t="shared" si="1"/>
        <v>70</v>
      </c>
      <c r="B73" s="76">
        <v>75</v>
      </c>
      <c r="C73" s="76">
        <v>75</v>
      </c>
    </row>
    <row r="74" spans="1:3" x14ac:dyDescent="0.2">
      <c r="A74" s="76">
        <f t="shared" si="1"/>
        <v>71</v>
      </c>
      <c r="B74" s="76">
        <v>75</v>
      </c>
      <c r="C74" s="76">
        <v>75</v>
      </c>
    </row>
    <row r="75" spans="1:3" x14ac:dyDescent="0.2">
      <c r="A75" s="76">
        <f t="shared" si="1"/>
        <v>72</v>
      </c>
      <c r="B75" s="76">
        <v>75</v>
      </c>
      <c r="C75" s="76">
        <v>75</v>
      </c>
    </row>
    <row r="76" spans="1:3" x14ac:dyDescent="0.2">
      <c r="A76" s="76">
        <f t="shared" si="1"/>
        <v>73</v>
      </c>
      <c r="B76" s="76">
        <v>75</v>
      </c>
      <c r="C76" s="76">
        <v>75</v>
      </c>
    </row>
    <row r="77" spans="1:3" x14ac:dyDescent="0.2">
      <c r="A77" s="76">
        <f t="shared" si="1"/>
        <v>74</v>
      </c>
      <c r="B77" s="76">
        <v>75</v>
      </c>
      <c r="C77" s="76">
        <v>75</v>
      </c>
    </row>
    <row r="78" spans="1:3" x14ac:dyDescent="0.2">
      <c r="A78" s="76">
        <f t="shared" si="1"/>
        <v>75</v>
      </c>
      <c r="B78" s="76">
        <v>75</v>
      </c>
      <c r="C78" s="76">
        <v>75</v>
      </c>
    </row>
    <row r="79" spans="1:3" x14ac:dyDescent="0.2">
      <c r="A79" s="76">
        <f t="shared" si="1"/>
        <v>76</v>
      </c>
      <c r="B79" s="76">
        <v>75</v>
      </c>
      <c r="C79" s="76">
        <v>75</v>
      </c>
    </row>
    <row r="80" spans="1:3" x14ac:dyDescent="0.2">
      <c r="A80" s="76">
        <f t="shared" si="1"/>
        <v>77</v>
      </c>
      <c r="B80" s="76">
        <v>75</v>
      </c>
      <c r="C80" s="76">
        <v>75</v>
      </c>
    </row>
    <row r="81" spans="1:3" x14ac:dyDescent="0.2">
      <c r="A81" s="76">
        <f t="shared" si="1"/>
        <v>78</v>
      </c>
      <c r="B81" s="76">
        <v>75</v>
      </c>
      <c r="C81" s="76">
        <v>75</v>
      </c>
    </row>
    <row r="82" spans="1:3" x14ac:dyDescent="0.2">
      <c r="A82" s="76">
        <f t="shared" si="1"/>
        <v>79</v>
      </c>
      <c r="B82" s="76">
        <v>75</v>
      </c>
      <c r="C82" s="76">
        <v>75</v>
      </c>
    </row>
    <row r="83" spans="1:3" x14ac:dyDescent="0.2">
      <c r="A83" s="76">
        <f t="shared" si="1"/>
        <v>80</v>
      </c>
      <c r="B83" s="76">
        <v>75</v>
      </c>
      <c r="C83" s="76">
        <v>75</v>
      </c>
    </row>
    <row r="84" spans="1:3" x14ac:dyDescent="0.2">
      <c r="A84" s="76">
        <f t="shared" si="1"/>
        <v>81</v>
      </c>
      <c r="B84" s="76">
        <v>75</v>
      </c>
      <c r="C84" s="76">
        <v>75</v>
      </c>
    </row>
    <row r="85" spans="1:3" x14ac:dyDescent="0.2">
      <c r="A85" s="76">
        <f t="shared" si="1"/>
        <v>82</v>
      </c>
      <c r="B85" s="76">
        <v>75</v>
      </c>
      <c r="C85" s="76">
        <v>75</v>
      </c>
    </row>
    <row r="86" spans="1:3" x14ac:dyDescent="0.2">
      <c r="A86" s="76">
        <f t="shared" si="1"/>
        <v>83</v>
      </c>
      <c r="B86" s="76">
        <v>75</v>
      </c>
      <c r="C86" s="76">
        <v>75</v>
      </c>
    </row>
    <row r="87" spans="1:3" x14ac:dyDescent="0.2">
      <c r="A87" s="76">
        <f t="shared" si="1"/>
        <v>84</v>
      </c>
      <c r="B87" s="76">
        <v>100</v>
      </c>
      <c r="C87" s="76">
        <v>75</v>
      </c>
    </row>
    <row r="88" spans="1:3" x14ac:dyDescent="0.2">
      <c r="A88" s="76">
        <f t="shared" si="1"/>
        <v>85</v>
      </c>
      <c r="B88" s="76">
        <v>100</v>
      </c>
      <c r="C88" s="76">
        <v>75</v>
      </c>
    </row>
    <row r="89" spans="1:3" x14ac:dyDescent="0.2">
      <c r="A89" s="76">
        <f t="shared" si="1"/>
        <v>86</v>
      </c>
      <c r="B89" s="76">
        <v>100</v>
      </c>
      <c r="C89" s="76">
        <v>75</v>
      </c>
    </row>
    <row r="90" spans="1:3" x14ac:dyDescent="0.2">
      <c r="A90" s="76">
        <f t="shared" si="1"/>
        <v>87</v>
      </c>
      <c r="B90" s="76">
        <v>100</v>
      </c>
      <c r="C90" s="76">
        <v>75</v>
      </c>
    </row>
    <row r="91" spans="1:3" x14ac:dyDescent="0.2">
      <c r="A91" s="76">
        <f t="shared" si="1"/>
        <v>88</v>
      </c>
      <c r="B91" s="76">
        <v>100</v>
      </c>
      <c r="C91" s="76">
        <v>75</v>
      </c>
    </row>
    <row r="92" spans="1:3" x14ac:dyDescent="0.2">
      <c r="A92" s="76">
        <f t="shared" si="1"/>
        <v>89</v>
      </c>
      <c r="B92" s="76">
        <v>100</v>
      </c>
      <c r="C92" s="76">
        <v>75</v>
      </c>
    </row>
    <row r="93" spans="1:3" x14ac:dyDescent="0.2">
      <c r="A93" s="76">
        <f t="shared" si="1"/>
        <v>90</v>
      </c>
      <c r="B93" s="76">
        <v>100</v>
      </c>
      <c r="C93" s="76">
        <v>75</v>
      </c>
    </row>
    <row r="94" spans="1:3" x14ac:dyDescent="0.2">
      <c r="A94" s="76">
        <f t="shared" si="1"/>
        <v>91</v>
      </c>
      <c r="B94" s="76">
        <v>100</v>
      </c>
      <c r="C94" s="76">
        <v>100</v>
      </c>
    </row>
    <row r="95" spans="1:3" x14ac:dyDescent="0.2">
      <c r="A95" s="76">
        <f t="shared" si="1"/>
        <v>92</v>
      </c>
      <c r="B95" s="76">
        <v>100</v>
      </c>
      <c r="C95" s="76">
        <v>100</v>
      </c>
    </row>
    <row r="96" spans="1:3" x14ac:dyDescent="0.2">
      <c r="A96" s="76">
        <f t="shared" si="1"/>
        <v>93</v>
      </c>
      <c r="B96" s="76">
        <v>100</v>
      </c>
      <c r="C96" s="76">
        <v>100</v>
      </c>
    </row>
    <row r="97" spans="1:3" x14ac:dyDescent="0.2">
      <c r="A97" s="76">
        <f t="shared" si="1"/>
        <v>94</v>
      </c>
      <c r="B97" s="76">
        <v>100</v>
      </c>
      <c r="C97" s="76">
        <v>100</v>
      </c>
    </row>
    <row r="98" spans="1:3" x14ac:dyDescent="0.2">
      <c r="A98" s="76">
        <f t="shared" si="1"/>
        <v>95</v>
      </c>
      <c r="B98" s="76">
        <v>100</v>
      </c>
      <c r="C98" s="76">
        <v>100</v>
      </c>
    </row>
    <row r="99" spans="1:3" x14ac:dyDescent="0.2">
      <c r="A99" s="76">
        <f t="shared" si="1"/>
        <v>96</v>
      </c>
      <c r="B99" s="76">
        <v>100</v>
      </c>
      <c r="C99" s="76">
        <v>100</v>
      </c>
    </row>
    <row r="100" spans="1:3" x14ac:dyDescent="0.2">
      <c r="A100" s="76">
        <f t="shared" si="1"/>
        <v>97</v>
      </c>
      <c r="B100" s="76">
        <v>100</v>
      </c>
      <c r="C100" s="76">
        <v>100</v>
      </c>
    </row>
    <row r="101" spans="1:3" x14ac:dyDescent="0.2">
      <c r="A101" s="76">
        <f t="shared" si="1"/>
        <v>98</v>
      </c>
      <c r="B101" s="76">
        <v>100</v>
      </c>
      <c r="C101" s="76">
        <v>100</v>
      </c>
    </row>
    <row r="102" spans="1:3" x14ac:dyDescent="0.2">
      <c r="A102" s="76">
        <f t="shared" si="1"/>
        <v>99</v>
      </c>
      <c r="B102" s="76">
        <v>100</v>
      </c>
      <c r="C102" s="76">
        <v>100</v>
      </c>
    </row>
    <row r="103" spans="1:3" x14ac:dyDescent="0.2">
      <c r="A103" s="76">
        <f t="shared" si="1"/>
        <v>100</v>
      </c>
      <c r="B103" s="76">
        <v>100</v>
      </c>
      <c r="C103" s="76">
        <v>100</v>
      </c>
    </row>
    <row r="104" spans="1:3" x14ac:dyDescent="0.2">
      <c r="A104" s="76">
        <f t="shared" si="1"/>
        <v>101</v>
      </c>
      <c r="B104" s="76">
        <v>100</v>
      </c>
      <c r="C104" s="76">
        <v>100</v>
      </c>
    </row>
    <row r="105" spans="1:3" x14ac:dyDescent="0.2">
      <c r="A105" s="76">
        <f t="shared" si="1"/>
        <v>102</v>
      </c>
      <c r="B105" s="76">
        <v>100</v>
      </c>
      <c r="C105" s="76">
        <v>100</v>
      </c>
    </row>
    <row r="106" spans="1:3" x14ac:dyDescent="0.2">
      <c r="A106" s="76">
        <f t="shared" si="1"/>
        <v>103</v>
      </c>
      <c r="B106" s="76">
        <v>100</v>
      </c>
      <c r="C106" s="76">
        <v>100</v>
      </c>
    </row>
    <row r="107" spans="1:3" x14ac:dyDescent="0.2">
      <c r="A107" s="76">
        <f t="shared" si="1"/>
        <v>104</v>
      </c>
      <c r="B107" s="76">
        <v>100</v>
      </c>
      <c r="C107" s="76">
        <v>100</v>
      </c>
    </row>
    <row r="108" spans="1:3" x14ac:dyDescent="0.2">
      <c r="A108" s="76">
        <f t="shared" si="1"/>
        <v>105</v>
      </c>
      <c r="B108" s="76">
        <v>100</v>
      </c>
      <c r="C108" s="76">
        <v>100</v>
      </c>
    </row>
    <row r="109" spans="1:3" x14ac:dyDescent="0.2">
      <c r="A109" s="76">
        <f t="shared" si="1"/>
        <v>106</v>
      </c>
      <c r="B109" s="76">
        <v>100</v>
      </c>
      <c r="C109" s="76">
        <v>100</v>
      </c>
    </row>
    <row r="110" spans="1:3" x14ac:dyDescent="0.2">
      <c r="A110" s="76">
        <f t="shared" si="1"/>
        <v>107</v>
      </c>
      <c r="B110" s="76">
        <v>100</v>
      </c>
      <c r="C110" s="76">
        <v>100</v>
      </c>
    </row>
    <row r="111" spans="1:3" x14ac:dyDescent="0.2">
      <c r="A111" s="76">
        <f t="shared" si="1"/>
        <v>108</v>
      </c>
      <c r="B111" s="76">
        <v>100</v>
      </c>
      <c r="C111" s="76">
        <v>100</v>
      </c>
    </row>
    <row r="112" spans="1:3" x14ac:dyDescent="0.2">
      <c r="A112" s="76">
        <f t="shared" si="1"/>
        <v>109</v>
      </c>
      <c r="B112" s="76">
        <v>100</v>
      </c>
      <c r="C112" s="76">
        <v>100</v>
      </c>
    </row>
    <row r="113" spans="1:3" x14ac:dyDescent="0.2">
      <c r="A113" s="76">
        <f t="shared" si="1"/>
        <v>110</v>
      </c>
      <c r="B113" s="76">
        <v>100</v>
      </c>
      <c r="C113" s="76">
        <v>100</v>
      </c>
    </row>
    <row r="114" spans="1:3" x14ac:dyDescent="0.2">
      <c r="A114" s="76">
        <f t="shared" si="1"/>
        <v>111</v>
      </c>
      <c r="B114" s="76">
        <v>167</v>
      </c>
      <c r="C114" s="76">
        <v>100</v>
      </c>
    </row>
    <row r="115" spans="1:3" x14ac:dyDescent="0.2">
      <c r="A115" s="76">
        <f t="shared" si="1"/>
        <v>112</v>
      </c>
      <c r="B115" s="76">
        <v>167</v>
      </c>
      <c r="C115" s="76">
        <v>100</v>
      </c>
    </row>
    <row r="116" spans="1:3" x14ac:dyDescent="0.2">
      <c r="A116" s="76">
        <f t="shared" si="1"/>
        <v>113</v>
      </c>
      <c r="B116" s="76">
        <v>167</v>
      </c>
      <c r="C116" s="76">
        <v>100</v>
      </c>
    </row>
    <row r="117" spans="1:3" x14ac:dyDescent="0.2">
      <c r="A117" s="76">
        <f t="shared" si="1"/>
        <v>114</v>
      </c>
      <c r="B117" s="76">
        <v>167</v>
      </c>
      <c r="C117" s="76">
        <v>100</v>
      </c>
    </row>
    <row r="118" spans="1:3" x14ac:dyDescent="0.2">
      <c r="A118" s="76">
        <f t="shared" si="1"/>
        <v>115</v>
      </c>
      <c r="B118" s="76">
        <v>167</v>
      </c>
      <c r="C118" s="76">
        <v>100</v>
      </c>
    </row>
    <row r="119" spans="1:3" x14ac:dyDescent="0.2">
      <c r="A119" s="76">
        <f t="shared" si="1"/>
        <v>116</v>
      </c>
      <c r="B119" s="76">
        <v>167</v>
      </c>
      <c r="C119" s="76">
        <v>100</v>
      </c>
    </row>
    <row r="120" spans="1:3" x14ac:dyDescent="0.2">
      <c r="A120" s="76">
        <f t="shared" si="1"/>
        <v>117</v>
      </c>
      <c r="B120" s="76">
        <v>167</v>
      </c>
      <c r="C120" s="76">
        <v>100</v>
      </c>
    </row>
    <row r="121" spans="1:3" x14ac:dyDescent="0.2">
      <c r="A121" s="76">
        <f t="shared" si="1"/>
        <v>118</v>
      </c>
      <c r="B121" s="76">
        <v>167</v>
      </c>
      <c r="C121" s="76">
        <v>100</v>
      </c>
    </row>
    <row r="122" spans="1:3" x14ac:dyDescent="0.2">
      <c r="A122" s="76">
        <f t="shared" si="1"/>
        <v>119</v>
      </c>
      <c r="B122" s="76">
        <v>167</v>
      </c>
      <c r="C122" s="76">
        <v>100</v>
      </c>
    </row>
    <row r="123" spans="1:3" x14ac:dyDescent="0.2">
      <c r="A123" s="76">
        <f t="shared" si="1"/>
        <v>120</v>
      </c>
      <c r="B123" s="76">
        <v>167</v>
      </c>
      <c r="C123" s="76">
        <v>100</v>
      </c>
    </row>
    <row r="124" spans="1:3" x14ac:dyDescent="0.2">
      <c r="A124" s="76">
        <f t="shared" si="1"/>
        <v>121</v>
      </c>
      <c r="B124" s="76">
        <v>167</v>
      </c>
      <c r="C124" s="76">
        <v>167</v>
      </c>
    </row>
    <row r="125" spans="1:3" x14ac:dyDescent="0.2">
      <c r="A125" s="76">
        <f t="shared" si="1"/>
        <v>122</v>
      </c>
      <c r="B125" s="76">
        <v>167</v>
      </c>
      <c r="C125" s="76">
        <v>167</v>
      </c>
    </row>
    <row r="126" spans="1:3" x14ac:dyDescent="0.2">
      <c r="A126" s="76">
        <f t="shared" si="1"/>
        <v>123</v>
      </c>
      <c r="B126" s="76">
        <v>167</v>
      </c>
      <c r="C126" s="76">
        <v>167</v>
      </c>
    </row>
    <row r="127" spans="1:3" x14ac:dyDescent="0.2">
      <c r="A127" s="76">
        <f t="shared" si="1"/>
        <v>124</v>
      </c>
      <c r="B127" s="76">
        <v>167</v>
      </c>
      <c r="C127" s="76">
        <v>167</v>
      </c>
    </row>
    <row r="128" spans="1:3" x14ac:dyDescent="0.2">
      <c r="A128" s="76">
        <f t="shared" si="1"/>
        <v>125</v>
      </c>
      <c r="B128" s="76">
        <v>167</v>
      </c>
      <c r="C128" s="76">
        <v>167</v>
      </c>
    </row>
    <row r="129" spans="1:3" x14ac:dyDescent="0.2">
      <c r="A129" s="76">
        <f t="shared" si="1"/>
        <v>126</v>
      </c>
      <c r="B129" s="76">
        <v>167</v>
      </c>
      <c r="C129" s="76">
        <v>167</v>
      </c>
    </row>
    <row r="130" spans="1:3" x14ac:dyDescent="0.2">
      <c r="A130" s="76">
        <f t="shared" si="1"/>
        <v>127</v>
      </c>
      <c r="B130" s="76">
        <v>167</v>
      </c>
      <c r="C130" s="76">
        <v>167</v>
      </c>
    </row>
    <row r="131" spans="1:3" x14ac:dyDescent="0.2">
      <c r="A131" s="76">
        <f t="shared" si="1"/>
        <v>128</v>
      </c>
      <c r="B131" s="76">
        <v>167</v>
      </c>
      <c r="C131" s="76">
        <v>167</v>
      </c>
    </row>
    <row r="132" spans="1:3" x14ac:dyDescent="0.2">
      <c r="A132" s="76">
        <f t="shared" si="1"/>
        <v>129</v>
      </c>
      <c r="B132" s="76">
        <v>167</v>
      </c>
      <c r="C132" s="76">
        <v>167</v>
      </c>
    </row>
    <row r="133" spans="1:3" x14ac:dyDescent="0.2">
      <c r="A133" s="76">
        <f t="shared" ref="A133:A196" si="2">A132+1</f>
        <v>130</v>
      </c>
      <c r="B133" s="76">
        <v>167</v>
      </c>
      <c r="C133" s="76">
        <v>167</v>
      </c>
    </row>
    <row r="134" spans="1:3" x14ac:dyDescent="0.2">
      <c r="A134" s="76">
        <f t="shared" si="2"/>
        <v>131</v>
      </c>
      <c r="B134" s="76">
        <v>167</v>
      </c>
      <c r="C134" s="76">
        <v>167</v>
      </c>
    </row>
    <row r="135" spans="1:3" x14ac:dyDescent="0.2">
      <c r="A135" s="76">
        <f t="shared" si="2"/>
        <v>132</v>
      </c>
      <c r="B135" s="76">
        <v>167</v>
      </c>
      <c r="C135" s="76">
        <v>167</v>
      </c>
    </row>
    <row r="136" spans="1:3" x14ac:dyDescent="0.2">
      <c r="A136" s="76">
        <f t="shared" si="2"/>
        <v>133</v>
      </c>
      <c r="B136" s="76">
        <v>167</v>
      </c>
      <c r="C136" s="76">
        <v>167</v>
      </c>
    </row>
    <row r="137" spans="1:3" x14ac:dyDescent="0.2">
      <c r="A137" s="76">
        <f t="shared" si="2"/>
        <v>134</v>
      </c>
      <c r="B137" s="76">
        <v>167</v>
      </c>
      <c r="C137" s="76">
        <v>167</v>
      </c>
    </row>
    <row r="138" spans="1:3" x14ac:dyDescent="0.2">
      <c r="A138" s="76">
        <f t="shared" si="2"/>
        <v>135</v>
      </c>
      <c r="B138" s="76">
        <v>167</v>
      </c>
      <c r="C138" s="76">
        <v>167</v>
      </c>
    </row>
    <row r="139" spans="1:3" x14ac:dyDescent="0.2">
      <c r="A139" s="76">
        <f t="shared" si="2"/>
        <v>136</v>
      </c>
      <c r="B139" s="76">
        <v>167</v>
      </c>
      <c r="C139" s="76">
        <v>167</v>
      </c>
    </row>
    <row r="140" spans="1:3" x14ac:dyDescent="0.2">
      <c r="A140" s="76">
        <f t="shared" si="2"/>
        <v>137</v>
      </c>
      <c r="B140" s="76">
        <v>167</v>
      </c>
      <c r="C140" s="76">
        <v>167</v>
      </c>
    </row>
    <row r="141" spans="1:3" x14ac:dyDescent="0.2">
      <c r="A141" s="76">
        <f t="shared" si="2"/>
        <v>138</v>
      </c>
      <c r="B141" s="76">
        <v>167</v>
      </c>
      <c r="C141" s="76">
        <v>167</v>
      </c>
    </row>
    <row r="142" spans="1:3" x14ac:dyDescent="0.2">
      <c r="A142" s="76">
        <f t="shared" si="2"/>
        <v>139</v>
      </c>
      <c r="B142" s="76">
        <v>167</v>
      </c>
      <c r="C142" s="76">
        <v>167</v>
      </c>
    </row>
    <row r="143" spans="1:3" x14ac:dyDescent="0.2">
      <c r="A143" s="76">
        <f t="shared" si="2"/>
        <v>140</v>
      </c>
      <c r="B143" s="76">
        <v>167</v>
      </c>
      <c r="C143" s="76">
        <v>167</v>
      </c>
    </row>
    <row r="144" spans="1:3" x14ac:dyDescent="0.2">
      <c r="A144" s="76">
        <f t="shared" si="2"/>
        <v>141</v>
      </c>
      <c r="B144" s="76">
        <v>167</v>
      </c>
      <c r="C144" s="76">
        <v>167</v>
      </c>
    </row>
    <row r="145" spans="1:3" x14ac:dyDescent="0.2">
      <c r="A145" s="76">
        <f t="shared" si="2"/>
        <v>142</v>
      </c>
      <c r="B145" s="76">
        <v>167</v>
      </c>
      <c r="C145" s="76">
        <v>167</v>
      </c>
    </row>
    <row r="146" spans="1:3" x14ac:dyDescent="0.2">
      <c r="A146" s="76">
        <f t="shared" si="2"/>
        <v>143</v>
      </c>
      <c r="B146" s="76">
        <v>167</v>
      </c>
      <c r="C146" s="76">
        <v>167</v>
      </c>
    </row>
    <row r="147" spans="1:3" x14ac:dyDescent="0.2">
      <c r="A147" s="76">
        <f t="shared" si="2"/>
        <v>144</v>
      </c>
      <c r="B147" s="76">
        <v>167</v>
      </c>
      <c r="C147" s="76">
        <v>167</v>
      </c>
    </row>
    <row r="148" spans="1:3" x14ac:dyDescent="0.2">
      <c r="A148" s="76">
        <f t="shared" si="2"/>
        <v>145</v>
      </c>
      <c r="B148" s="76">
        <v>167</v>
      </c>
      <c r="C148" s="76">
        <v>167</v>
      </c>
    </row>
    <row r="149" spans="1:3" x14ac:dyDescent="0.2">
      <c r="A149" s="76">
        <f t="shared" si="2"/>
        <v>146</v>
      </c>
      <c r="B149" s="76">
        <v>167</v>
      </c>
      <c r="C149" s="76">
        <v>167</v>
      </c>
    </row>
    <row r="150" spans="1:3" x14ac:dyDescent="0.2">
      <c r="A150" s="76">
        <f t="shared" si="2"/>
        <v>147</v>
      </c>
      <c r="B150" s="76">
        <v>167</v>
      </c>
      <c r="C150" s="76">
        <v>167</v>
      </c>
    </row>
    <row r="151" spans="1:3" x14ac:dyDescent="0.2">
      <c r="A151" s="76">
        <f t="shared" si="2"/>
        <v>148</v>
      </c>
      <c r="B151" s="76">
        <v>167</v>
      </c>
      <c r="C151" s="76">
        <v>167</v>
      </c>
    </row>
    <row r="152" spans="1:3" x14ac:dyDescent="0.2">
      <c r="A152" s="76">
        <f t="shared" si="2"/>
        <v>149</v>
      </c>
      <c r="B152" s="76">
        <v>167</v>
      </c>
      <c r="C152" s="76">
        <v>167</v>
      </c>
    </row>
    <row r="153" spans="1:3" x14ac:dyDescent="0.2">
      <c r="A153" s="76">
        <f t="shared" si="2"/>
        <v>150</v>
      </c>
      <c r="B153" s="76">
        <v>167</v>
      </c>
      <c r="C153" s="76">
        <v>167</v>
      </c>
    </row>
    <row r="154" spans="1:3" x14ac:dyDescent="0.2">
      <c r="A154" s="76">
        <f t="shared" si="2"/>
        <v>151</v>
      </c>
      <c r="B154" s="76">
        <v>167</v>
      </c>
      <c r="C154" s="76">
        <v>167</v>
      </c>
    </row>
    <row r="155" spans="1:3" x14ac:dyDescent="0.2">
      <c r="A155" s="76">
        <f t="shared" si="2"/>
        <v>152</v>
      </c>
      <c r="B155" s="76">
        <v>167</v>
      </c>
      <c r="C155" s="76">
        <v>167</v>
      </c>
    </row>
    <row r="156" spans="1:3" x14ac:dyDescent="0.2">
      <c r="A156" s="76">
        <f t="shared" si="2"/>
        <v>153</v>
      </c>
      <c r="B156" s="76">
        <v>167</v>
      </c>
      <c r="C156" s="76">
        <v>167</v>
      </c>
    </row>
    <row r="157" spans="1:3" x14ac:dyDescent="0.2">
      <c r="A157" s="76">
        <f t="shared" si="2"/>
        <v>154</v>
      </c>
      <c r="B157" s="76">
        <v>167</v>
      </c>
      <c r="C157" s="76">
        <v>167</v>
      </c>
    </row>
    <row r="158" spans="1:3" x14ac:dyDescent="0.2">
      <c r="A158" s="76">
        <f t="shared" si="2"/>
        <v>155</v>
      </c>
      <c r="B158" s="76">
        <v>167</v>
      </c>
      <c r="C158" s="76">
        <v>167</v>
      </c>
    </row>
    <row r="159" spans="1:3" x14ac:dyDescent="0.2">
      <c r="A159" s="76">
        <f t="shared" si="2"/>
        <v>156</v>
      </c>
      <c r="B159" s="76">
        <v>167</v>
      </c>
      <c r="C159" s="76">
        <v>167</v>
      </c>
    </row>
    <row r="160" spans="1:3" x14ac:dyDescent="0.2">
      <c r="A160" s="76">
        <f t="shared" si="2"/>
        <v>157</v>
      </c>
      <c r="B160" s="76">
        <v>167</v>
      </c>
      <c r="C160" s="76">
        <v>167</v>
      </c>
    </row>
    <row r="161" spans="1:3" x14ac:dyDescent="0.2">
      <c r="A161" s="76">
        <f t="shared" si="2"/>
        <v>158</v>
      </c>
      <c r="B161" s="76">
        <v>167</v>
      </c>
      <c r="C161" s="76">
        <v>167</v>
      </c>
    </row>
    <row r="162" spans="1:3" x14ac:dyDescent="0.2">
      <c r="A162" s="76">
        <f t="shared" si="2"/>
        <v>159</v>
      </c>
      <c r="B162" s="76">
        <v>167</v>
      </c>
      <c r="C162" s="76">
        <v>167</v>
      </c>
    </row>
    <row r="163" spans="1:3" x14ac:dyDescent="0.2">
      <c r="A163" s="76">
        <f t="shared" si="2"/>
        <v>160</v>
      </c>
      <c r="B163" s="76">
        <v>167</v>
      </c>
      <c r="C163" s="76">
        <v>167</v>
      </c>
    </row>
    <row r="164" spans="1:3" x14ac:dyDescent="0.2">
      <c r="A164" s="76">
        <f t="shared" si="2"/>
        <v>161</v>
      </c>
      <c r="B164" s="76">
        <v>167</v>
      </c>
      <c r="C164" s="76">
        <v>167</v>
      </c>
    </row>
    <row r="165" spans="1:3" x14ac:dyDescent="0.2">
      <c r="A165" s="76">
        <f t="shared" si="2"/>
        <v>162</v>
      </c>
      <c r="B165" s="76">
        <v>167</v>
      </c>
      <c r="C165" s="76">
        <v>167</v>
      </c>
    </row>
    <row r="166" spans="1:3" x14ac:dyDescent="0.2">
      <c r="A166" s="76">
        <f t="shared" si="2"/>
        <v>163</v>
      </c>
      <c r="B166" s="76">
        <v>167</v>
      </c>
      <c r="C166" s="76">
        <v>167</v>
      </c>
    </row>
    <row r="167" spans="1:3" x14ac:dyDescent="0.2">
      <c r="A167" s="76">
        <f t="shared" si="2"/>
        <v>164</v>
      </c>
      <c r="B167" s="76">
        <v>167</v>
      </c>
      <c r="C167" s="76">
        <v>167</v>
      </c>
    </row>
    <row r="168" spans="1:3" x14ac:dyDescent="0.2">
      <c r="A168" s="76">
        <f t="shared" si="2"/>
        <v>165</v>
      </c>
      <c r="B168" s="76">
        <v>167</v>
      </c>
      <c r="C168" s="76">
        <v>167</v>
      </c>
    </row>
    <row r="169" spans="1:3" x14ac:dyDescent="0.2">
      <c r="A169" s="76">
        <f t="shared" si="2"/>
        <v>166</v>
      </c>
      <c r="B169" s="76">
        <v>167</v>
      </c>
      <c r="C169" s="76">
        <v>167</v>
      </c>
    </row>
    <row r="170" spans="1:3" x14ac:dyDescent="0.2">
      <c r="A170" s="76">
        <f t="shared" si="2"/>
        <v>167</v>
      </c>
      <c r="B170" s="76">
        <v>167</v>
      </c>
      <c r="C170" s="76">
        <v>167</v>
      </c>
    </row>
    <row r="171" spans="1:3" x14ac:dyDescent="0.2">
      <c r="A171" s="76">
        <f t="shared" si="2"/>
        <v>168</v>
      </c>
      <c r="B171" s="76">
        <v>167</v>
      </c>
      <c r="C171" s="76">
        <v>167</v>
      </c>
    </row>
    <row r="172" spans="1:3" x14ac:dyDescent="0.2">
      <c r="A172" s="76">
        <f t="shared" si="2"/>
        <v>169</v>
      </c>
      <c r="B172" s="76">
        <v>167</v>
      </c>
      <c r="C172" s="76">
        <v>167</v>
      </c>
    </row>
    <row r="173" spans="1:3" x14ac:dyDescent="0.2">
      <c r="A173" s="76">
        <f t="shared" si="2"/>
        <v>170</v>
      </c>
      <c r="B173" s="76">
        <v>167</v>
      </c>
      <c r="C173" s="76">
        <v>167</v>
      </c>
    </row>
    <row r="174" spans="1:3" x14ac:dyDescent="0.2">
      <c r="A174" s="76">
        <f t="shared" si="2"/>
        <v>171</v>
      </c>
      <c r="B174" s="76">
        <v>167</v>
      </c>
      <c r="C174" s="76">
        <v>167</v>
      </c>
    </row>
    <row r="175" spans="1:3" x14ac:dyDescent="0.2">
      <c r="A175" s="76">
        <f t="shared" si="2"/>
        <v>172</v>
      </c>
      <c r="B175" s="76">
        <v>167</v>
      </c>
      <c r="C175" s="76">
        <v>167</v>
      </c>
    </row>
    <row r="176" spans="1:3" x14ac:dyDescent="0.2">
      <c r="A176" s="76">
        <f t="shared" si="2"/>
        <v>173</v>
      </c>
      <c r="B176" s="76">
        <v>167</v>
      </c>
      <c r="C176" s="76">
        <v>167</v>
      </c>
    </row>
    <row r="177" spans="1:3" x14ac:dyDescent="0.2">
      <c r="A177" s="76">
        <f t="shared" si="2"/>
        <v>174</v>
      </c>
      <c r="B177" s="76">
        <v>167</v>
      </c>
      <c r="C177" s="76">
        <v>167</v>
      </c>
    </row>
    <row r="178" spans="1:3" x14ac:dyDescent="0.2">
      <c r="A178" s="76">
        <f t="shared" si="2"/>
        <v>175</v>
      </c>
      <c r="B178" s="76">
        <v>167</v>
      </c>
      <c r="C178" s="76">
        <v>167</v>
      </c>
    </row>
    <row r="179" spans="1:3" x14ac:dyDescent="0.2">
      <c r="A179" s="76">
        <f t="shared" si="2"/>
        <v>176</v>
      </c>
      <c r="B179" s="76">
        <v>167</v>
      </c>
      <c r="C179" s="76">
        <v>167</v>
      </c>
    </row>
    <row r="180" spans="1:3" x14ac:dyDescent="0.2">
      <c r="A180" s="76">
        <f t="shared" si="2"/>
        <v>177</v>
      </c>
      <c r="B180" s="76">
        <v>167</v>
      </c>
      <c r="C180" s="76">
        <v>167</v>
      </c>
    </row>
    <row r="181" spans="1:3" x14ac:dyDescent="0.2">
      <c r="A181" s="76">
        <f t="shared" si="2"/>
        <v>178</v>
      </c>
      <c r="B181" s="76">
        <v>167</v>
      </c>
      <c r="C181" s="76">
        <v>167</v>
      </c>
    </row>
    <row r="182" spans="1:3" x14ac:dyDescent="0.2">
      <c r="A182" s="76">
        <f t="shared" si="2"/>
        <v>179</v>
      </c>
      <c r="B182" s="76">
        <v>167</v>
      </c>
      <c r="C182" s="76">
        <v>167</v>
      </c>
    </row>
    <row r="183" spans="1:3" x14ac:dyDescent="0.2">
      <c r="A183" s="76">
        <f t="shared" si="2"/>
        <v>180</v>
      </c>
      <c r="B183" s="76">
        <v>167</v>
      </c>
      <c r="C183" s="76">
        <v>167</v>
      </c>
    </row>
    <row r="184" spans="1:3" x14ac:dyDescent="0.2">
      <c r="A184" s="76">
        <f t="shared" si="2"/>
        <v>181</v>
      </c>
      <c r="B184" s="76">
        <v>167</v>
      </c>
      <c r="C184" s="76">
        <v>167</v>
      </c>
    </row>
    <row r="185" spans="1:3" x14ac:dyDescent="0.2">
      <c r="A185" s="76">
        <f t="shared" si="2"/>
        <v>182</v>
      </c>
      <c r="B185" s="76">
        <v>167</v>
      </c>
      <c r="C185" s="76">
        <v>167</v>
      </c>
    </row>
    <row r="186" spans="1:3" x14ac:dyDescent="0.2">
      <c r="A186" s="76">
        <f t="shared" si="2"/>
        <v>183</v>
      </c>
      <c r="B186" s="76">
        <v>167</v>
      </c>
      <c r="C186" s="76">
        <v>167</v>
      </c>
    </row>
    <row r="187" spans="1:3" x14ac:dyDescent="0.2">
      <c r="A187" s="76">
        <f t="shared" si="2"/>
        <v>184</v>
      </c>
      <c r="B187" s="76">
        <v>167</v>
      </c>
      <c r="C187" s="76">
        <v>167</v>
      </c>
    </row>
    <row r="188" spans="1:3" x14ac:dyDescent="0.2">
      <c r="A188" s="76">
        <f t="shared" si="2"/>
        <v>185</v>
      </c>
      <c r="C188" s="76">
        <v>167</v>
      </c>
    </row>
    <row r="189" spans="1:3" x14ac:dyDescent="0.2">
      <c r="A189" s="76">
        <f t="shared" si="2"/>
        <v>186</v>
      </c>
      <c r="C189" s="76">
        <v>167</v>
      </c>
    </row>
    <row r="190" spans="1:3" x14ac:dyDescent="0.2">
      <c r="A190" s="76">
        <f t="shared" si="2"/>
        <v>187</v>
      </c>
      <c r="C190" s="76">
        <v>167</v>
      </c>
    </row>
    <row r="191" spans="1:3" x14ac:dyDescent="0.2">
      <c r="A191" s="76">
        <f t="shared" si="2"/>
        <v>188</v>
      </c>
      <c r="C191" s="76">
        <v>167</v>
      </c>
    </row>
    <row r="192" spans="1:3" x14ac:dyDescent="0.2">
      <c r="A192" s="76">
        <f t="shared" si="2"/>
        <v>189</v>
      </c>
      <c r="C192" s="76">
        <v>167</v>
      </c>
    </row>
    <row r="193" spans="1:3" x14ac:dyDescent="0.2">
      <c r="A193" s="76">
        <f t="shared" si="2"/>
        <v>190</v>
      </c>
      <c r="C193" s="76">
        <v>167</v>
      </c>
    </row>
    <row r="194" spans="1:3" x14ac:dyDescent="0.2">
      <c r="A194" s="76">
        <f t="shared" si="2"/>
        <v>191</v>
      </c>
      <c r="C194" s="76">
        <v>167</v>
      </c>
    </row>
    <row r="195" spans="1:3" x14ac:dyDescent="0.2">
      <c r="A195" s="76">
        <f t="shared" si="2"/>
        <v>192</v>
      </c>
      <c r="C195" s="76">
        <v>167</v>
      </c>
    </row>
    <row r="196" spans="1:3" x14ac:dyDescent="0.2">
      <c r="A196" s="76">
        <f t="shared" si="2"/>
        <v>193</v>
      </c>
      <c r="C196" s="76">
        <v>167</v>
      </c>
    </row>
    <row r="197" spans="1:3" x14ac:dyDescent="0.2">
      <c r="A197" s="76">
        <f t="shared" ref="A197:A211" si="3">A196+1</f>
        <v>194</v>
      </c>
      <c r="C197" s="76">
        <v>167</v>
      </c>
    </row>
    <row r="198" spans="1:3" x14ac:dyDescent="0.2">
      <c r="A198" s="76">
        <f t="shared" si="3"/>
        <v>195</v>
      </c>
      <c r="C198" s="76">
        <v>167</v>
      </c>
    </row>
    <row r="199" spans="1:3" x14ac:dyDescent="0.2">
      <c r="A199" s="76">
        <f t="shared" si="3"/>
        <v>196</v>
      </c>
      <c r="C199" s="76">
        <v>167</v>
      </c>
    </row>
    <row r="200" spans="1:3" x14ac:dyDescent="0.2">
      <c r="A200" s="76">
        <f t="shared" si="3"/>
        <v>197</v>
      </c>
      <c r="C200" s="76">
        <v>167</v>
      </c>
    </row>
    <row r="201" spans="1:3" x14ac:dyDescent="0.2">
      <c r="A201" s="76">
        <f t="shared" si="3"/>
        <v>198</v>
      </c>
      <c r="C201" s="76">
        <v>167</v>
      </c>
    </row>
    <row r="202" spans="1:3" x14ac:dyDescent="0.2">
      <c r="A202" s="76">
        <f t="shared" si="3"/>
        <v>199</v>
      </c>
      <c r="C202" s="76">
        <v>167</v>
      </c>
    </row>
    <row r="203" spans="1:3" x14ac:dyDescent="0.2">
      <c r="A203" s="76">
        <f t="shared" si="3"/>
        <v>200</v>
      </c>
      <c r="C203" s="76">
        <v>167</v>
      </c>
    </row>
    <row r="204" spans="1:3" x14ac:dyDescent="0.2">
      <c r="A204" s="76">
        <f t="shared" si="3"/>
        <v>201</v>
      </c>
      <c r="C204" s="76">
        <v>167</v>
      </c>
    </row>
    <row r="205" spans="1:3" x14ac:dyDescent="0.2">
      <c r="A205" s="76">
        <f t="shared" si="3"/>
        <v>202</v>
      </c>
    </row>
    <row r="206" spans="1:3" x14ac:dyDescent="0.2">
      <c r="A206" s="76">
        <f t="shared" si="3"/>
        <v>203</v>
      </c>
    </row>
    <row r="207" spans="1:3" x14ac:dyDescent="0.2">
      <c r="A207" s="76">
        <f t="shared" si="3"/>
        <v>204</v>
      </c>
    </row>
    <row r="208" spans="1:3" x14ac:dyDescent="0.2">
      <c r="A208" s="76">
        <f t="shared" si="3"/>
        <v>205</v>
      </c>
    </row>
    <row r="209" spans="1:1" x14ac:dyDescent="0.2">
      <c r="A209" s="76">
        <f t="shared" si="3"/>
        <v>206</v>
      </c>
    </row>
    <row r="210" spans="1:1" x14ac:dyDescent="0.2">
      <c r="A210" s="76">
        <f t="shared" si="3"/>
        <v>207</v>
      </c>
    </row>
    <row r="211" spans="1:1" x14ac:dyDescent="0.2">
      <c r="A211" s="76">
        <f t="shared" si="3"/>
        <v>208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9F58C3F0FA14BB161BAB6B3D579EC" ma:contentTypeVersion="12" ma:contentTypeDescription="Create a new document." ma:contentTypeScope="" ma:versionID="d581ac17406db380eea823318c8b97a5">
  <xsd:schema xmlns:xsd="http://www.w3.org/2001/XMLSchema" xmlns:xs="http://www.w3.org/2001/XMLSchema" xmlns:p="http://schemas.microsoft.com/office/2006/metadata/properties" xmlns:ns3="6d46c4af-9265-49eb-86b8-40803e6b18ba" xmlns:ns4="3b6173fa-e1ae-4042-9d72-5b514be03521" targetNamespace="http://schemas.microsoft.com/office/2006/metadata/properties" ma:root="true" ma:fieldsID="51da23d3c33a61a9d4cce4f338cee264" ns3:_="" ns4:_="">
    <xsd:import namespace="6d46c4af-9265-49eb-86b8-40803e6b18ba"/>
    <xsd:import namespace="3b6173fa-e1ae-4042-9d72-5b514be0352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6c4af-9265-49eb-86b8-40803e6b18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173fa-e1ae-4042-9d72-5b514be035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2C888E-D7D8-4718-BAEB-BC8D2B3B5637}">
  <ds:schemaRefs>
    <ds:schemaRef ds:uri="http://purl.org/dc/terms/"/>
    <ds:schemaRef ds:uri="http://schemas.openxmlformats.org/package/2006/metadata/core-properties"/>
    <ds:schemaRef ds:uri="6d46c4af-9265-49eb-86b8-40803e6b18ba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b6173fa-e1ae-4042-9d72-5b514be0352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1F1972-F551-460C-AC82-23627A7BD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46c4af-9265-49eb-86b8-40803e6b18ba"/>
    <ds:schemaRef ds:uri="3b6173fa-e1ae-4042-9d72-5b514be035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911A38-E19B-480D-A6FC-C6B37DF61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Step 1 - Load Sizing</vt:lpstr>
      <vt:lpstr>Step 2 - Transformer Sizing</vt:lpstr>
      <vt:lpstr>Step 3 - Calculator</vt:lpstr>
      <vt:lpstr>Transf Sizing Data</vt:lpstr>
      <vt:lpstr>Voltage Flicker Data</vt:lpstr>
      <vt:lpstr>Voltage Drop Table</vt:lpstr>
      <vt:lpstr>Transformer Sizing Matrix</vt:lpstr>
      <vt:lpstr>'Step 1 - Load Sizing'!Print_Area</vt:lpstr>
      <vt:lpstr>'Step 2 - Transformer Sizing'!Print_Area</vt:lpstr>
      <vt:lpstr>'Step 3 - Calculator'!Print_Area</vt:lpstr>
      <vt:lpstr>'Transf Sizing Data'!Print_Area</vt:lpstr>
      <vt:lpstr>'Voltage Flicker Data'!Print_Area</vt:lpstr>
      <vt:lpstr>'Step 3 - Calculator'!Print_Titles</vt:lpstr>
      <vt:lpstr>'Transf Sizing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Mara</dc:creator>
  <cp:lastModifiedBy>Mark Hopper</cp:lastModifiedBy>
  <cp:lastPrinted>2020-06-05T17:58:43Z</cp:lastPrinted>
  <dcterms:created xsi:type="dcterms:W3CDTF">2018-02-14T19:54:13Z</dcterms:created>
  <dcterms:modified xsi:type="dcterms:W3CDTF">2020-06-09T13:42:16Z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0x01010002A9F58C3F0FA14BB161BAB6B3D579EC</vt:lpwstr>
  </property>
</Properties>
</file>